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450" windowWidth="9720" windowHeight="7320" activeTab="1"/>
  </bookViews>
  <sheets>
    <sheet name="Salaries" sheetId="1" r:id="rId1"/>
    <sheet name="Budget Yr 1" sheetId="2" r:id="rId2"/>
    <sheet name="Budget Yr 2-3" sheetId="3" r:id="rId3"/>
    <sheet name="Budget Yr 1-5" sheetId="4" r:id="rId4"/>
    <sheet name="Income Yr 1" sheetId="5" r:id="rId5"/>
    <sheet name="Income Yr 2-3" sheetId="6" r:id="rId6"/>
    <sheet name="Income Yr 1-5" sheetId="7" r:id="rId7"/>
  </sheets>
  <externalReferences>
    <externalReference r:id="rId10"/>
  </externalReferences>
  <definedNames>
    <definedName name="TAXRATE">'[1]Assumptions'!$B$434:$C$438</definedName>
  </definedNames>
  <calcPr fullCalcOnLoad="1"/>
</workbook>
</file>

<file path=xl/sharedStrings.xml><?xml version="1.0" encoding="utf-8"?>
<sst xmlns="http://schemas.openxmlformats.org/spreadsheetml/2006/main" count="143" uniqueCount="56">
  <si>
    <t>"Schedule A"</t>
  </si>
  <si>
    <t>The All Company</t>
  </si>
  <si>
    <t>Salaries</t>
  </si>
  <si>
    <t>Year 1</t>
  </si>
  <si>
    <t>Year 2</t>
  </si>
  <si>
    <t>Year 3</t>
  </si>
  <si>
    <t>Year 4</t>
  </si>
  <si>
    <t>Year 5</t>
  </si>
  <si>
    <t>Chief Executive Officer</t>
  </si>
  <si>
    <t>Chief Technical Officer</t>
  </si>
  <si>
    <t>Chief Operating Officer</t>
  </si>
  <si>
    <t>V.P. of TV Production</t>
  </si>
  <si>
    <t>V.P. of Publications</t>
  </si>
  <si>
    <t>Chief Editorial Editor</t>
  </si>
  <si>
    <t>Programmers</t>
  </si>
  <si>
    <t>VP of Marketing &amp; Bus. Dev't</t>
  </si>
  <si>
    <t>Account Executives</t>
  </si>
  <si>
    <t>Controller</t>
  </si>
  <si>
    <t>Accounting (A/P, Fin'l, Staff)</t>
  </si>
  <si>
    <t>Content Writers</t>
  </si>
  <si>
    <t>Miscellaneous (H/R, Rec.,etc)</t>
  </si>
  <si>
    <t>Total</t>
  </si>
  <si>
    <t>Budget</t>
  </si>
  <si>
    <t>Year 1 by Month</t>
  </si>
  <si>
    <t>% of Total</t>
  </si>
  <si>
    <t>Sales</t>
  </si>
  <si>
    <t>Total Sales</t>
  </si>
  <si>
    <t xml:space="preserve">Cost of Goods Sold </t>
  </si>
  <si>
    <t>Sales &amp; Marketing Costs</t>
  </si>
  <si>
    <t>Internet Advertising</t>
  </si>
  <si>
    <t>Total Sales &amp; Marketing Costs</t>
  </si>
  <si>
    <t xml:space="preserve">   % of Total Sales</t>
  </si>
  <si>
    <t>Operating Expenses</t>
  </si>
  <si>
    <t>Total G &amp; A Costs</t>
  </si>
  <si>
    <t>Income before Taxes</t>
  </si>
  <si>
    <t>Taxes on Income</t>
  </si>
  <si>
    <t xml:space="preserve">Net Income After Taxes </t>
  </si>
  <si>
    <t xml:space="preserve">  Years 2-3 by Quarter</t>
  </si>
  <si>
    <t>Cost of Sales</t>
  </si>
  <si>
    <t>Total Cost of Sales</t>
  </si>
  <si>
    <t xml:space="preserve"> Years 1-5 by Year</t>
  </si>
  <si>
    <t>Income Statement</t>
  </si>
  <si>
    <t xml:space="preserve"> Year 1 by Month</t>
  </si>
  <si>
    <t>G&amp;A Expenses</t>
  </si>
  <si>
    <t xml:space="preserve"> </t>
  </si>
  <si>
    <t>Taxes</t>
  </si>
  <si>
    <t xml:space="preserve"> Years 2-3 by Quarter</t>
  </si>
  <si>
    <t>General &amp; Administrative Costs</t>
  </si>
  <si>
    <t xml:space="preserve"> Years 1 - 5</t>
  </si>
  <si>
    <t>Net Income before Taxes</t>
  </si>
  <si>
    <t>Web Maintenance &amp; Development</t>
  </si>
  <si>
    <t>Web Maintenance and Development</t>
  </si>
  <si>
    <t>Start-up Costs</t>
  </si>
  <si>
    <t>Network Marketing Revenues</t>
  </si>
  <si>
    <t>Network marketing Revenues</t>
  </si>
  <si>
    <t>Publication Cost of Sales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</si>
</sst>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mmm\-yy_)"/>
    <numFmt numFmtId="167" formatCode="hh:mm:ss\ AM/PM_)"/>
    <numFmt numFmtId="168" formatCode="_(&quot;$&quot;* #,##0.0_);_(&quot;$&quot;* \(#,##0.0\);_(&quot;$&quot;* &quot;-&quot;??_);_(@_)"/>
    <numFmt numFmtId="169" formatCode="&quot;$&quot;#,##0.0_);[Red]\(&quot;$&quot;#,##0.0\)"/>
    <numFmt numFmtId="170" formatCode="m/d/yyyy"/>
    <numFmt numFmtId="171" formatCode="mmm\-yyyy"/>
  </numFmts>
  <fonts count="25">
    <font>
      <sz val="10"/>
      <name val="Arial"/>
      <family val="0"/>
    </font>
    <font>
      <sz val="16"/>
      <color indexed="12"/>
      <name val="times"/>
      <family val="0"/>
    </font>
    <font>
      <sz val="20"/>
      <color indexed="12"/>
      <name val="times"/>
      <family val="0"/>
    </font>
    <font>
      <sz val="10"/>
      <name val="times"/>
      <family val="0"/>
    </font>
    <font>
      <sz val="14"/>
      <name val="times"/>
      <family val="0"/>
    </font>
    <font>
      <b/>
      <u val="single"/>
      <sz val="10"/>
      <name val="times"/>
      <family val="0"/>
    </font>
    <font>
      <sz val="12"/>
      <name val="times"/>
      <family val="0"/>
    </font>
    <font>
      <b/>
      <sz val="12"/>
      <color indexed="10"/>
      <name val="times"/>
      <family val="0"/>
    </font>
    <font>
      <sz val="18"/>
      <color indexed="12"/>
      <name val="times"/>
      <family val="0"/>
    </font>
    <font>
      <b/>
      <sz val="12"/>
      <color indexed="8"/>
      <name val="times"/>
      <family val="0"/>
    </font>
    <font>
      <sz val="10"/>
      <color indexed="8"/>
      <name val="times"/>
      <family val="0"/>
    </font>
    <font>
      <b/>
      <i/>
      <sz val="10"/>
      <color indexed="8"/>
      <name val="times"/>
      <family val="0"/>
    </font>
    <font>
      <sz val="14"/>
      <color indexed="12"/>
      <name val="times"/>
      <family val="0"/>
    </font>
    <font>
      <b/>
      <sz val="10"/>
      <color indexed="8"/>
      <name val="times"/>
      <family val="0"/>
    </font>
    <font>
      <sz val="12"/>
      <color indexed="8"/>
      <name val="times"/>
      <family val="0"/>
    </font>
    <font>
      <i/>
      <sz val="10"/>
      <color indexed="8"/>
      <name val="times"/>
      <family val="0"/>
    </font>
    <font>
      <sz val="14"/>
      <color indexed="10"/>
      <name val="times"/>
      <family val="0"/>
    </font>
    <font>
      <i/>
      <sz val="12"/>
      <color indexed="8"/>
      <name val="times"/>
      <family val="0"/>
    </font>
    <font>
      <sz val="16"/>
      <color indexed="10"/>
      <name val="times"/>
      <family val="0"/>
    </font>
    <font>
      <b/>
      <sz val="16"/>
      <color indexed="8"/>
      <name val="times"/>
      <family val="0"/>
    </font>
    <font>
      <sz val="16"/>
      <color indexed="8"/>
      <name val="times"/>
      <family val="0"/>
    </font>
    <font>
      <b/>
      <sz val="14"/>
      <color indexed="10"/>
      <name val="times"/>
      <family val="0"/>
    </font>
    <font>
      <b/>
      <sz val="14"/>
      <color indexed="8"/>
      <name val="times"/>
      <family val="0"/>
    </font>
    <font>
      <b/>
      <sz val="14"/>
      <color indexed="12"/>
      <name val="times"/>
      <family val="0"/>
    </font>
    <font>
      <sz val="16"/>
      <name val="times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17" applyNumberFormat="1" applyFont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65" fontId="10" fillId="0" borderId="0" xfId="0" applyNumberFormat="1" applyFont="1" applyAlignment="1">
      <alignment/>
    </xf>
    <xf numFmtId="15" fontId="3" fillId="0" borderId="0" xfId="0" applyNumberFormat="1" applyFont="1" applyAlignment="1" applyProtection="1">
      <alignment horizontal="left"/>
      <protection/>
    </xf>
    <xf numFmtId="0" fontId="10" fillId="0" borderId="1" xfId="0" applyFont="1" applyBorder="1" applyAlignment="1">
      <alignment/>
    </xf>
    <xf numFmtId="165" fontId="11" fillId="0" borderId="0" xfId="0" applyNumberFormat="1" applyFont="1" applyAlignment="1">
      <alignment horizontal="right"/>
    </xf>
    <xf numFmtId="0" fontId="12" fillId="0" borderId="0" xfId="0" applyFont="1" applyAlignment="1">
      <alignment horizontal="left"/>
    </xf>
    <xf numFmtId="166" fontId="13" fillId="0" borderId="2" xfId="0" applyNumberFormat="1" applyFont="1" applyBorder="1" applyAlignment="1">
      <alignment horizontal="center"/>
    </xf>
    <xf numFmtId="166" fontId="13" fillId="0" borderId="3" xfId="0" applyNumberFormat="1" applyFont="1" applyBorder="1" applyAlignment="1">
      <alignment horizontal="center"/>
    </xf>
    <xf numFmtId="165" fontId="11" fillId="0" borderId="2" xfId="0" applyNumberFormat="1" applyFont="1" applyBorder="1" applyAlignment="1">
      <alignment horizontal="center"/>
    </xf>
    <xf numFmtId="0" fontId="14" fillId="0" borderId="0" xfId="0" applyFont="1" applyAlignment="1">
      <alignment/>
    </xf>
    <xf numFmtId="6" fontId="10" fillId="0" borderId="0" xfId="0" applyNumberFormat="1" applyFont="1" applyAlignment="1">
      <alignment/>
    </xf>
    <xf numFmtId="6" fontId="10" fillId="0" borderId="1" xfId="0" applyNumberFormat="1" applyFont="1" applyBorder="1" applyAlignment="1">
      <alignment/>
    </xf>
    <xf numFmtId="165" fontId="15" fillId="0" borderId="0" xfId="0" applyNumberFormat="1" applyFont="1" applyAlignment="1">
      <alignment/>
    </xf>
    <xf numFmtId="0" fontId="9" fillId="0" borderId="4" xfId="0" applyFont="1" applyBorder="1" applyAlignment="1">
      <alignment horizontal="left"/>
    </xf>
    <xf numFmtId="6" fontId="13" fillId="0" borderId="4" xfId="0" applyNumberFormat="1" applyFont="1" applyBorder="1" applyAlignment="1">
      <alignment/>
    </xf>
    <xf numFmtId="165" fontId="15" fillId="0" borderId="4" xfId="0" applyNumberFormat="1" applyFont="1" applyBorder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 horizontal="left"/>
    </xf>
    <xf numFmtId="6" fontId="14" fillId="0" borderId="0" xfId="0" applyNumberFormat="1" applyFont="1" applyBorder="1" applyAlignment="1">
      <alignment/>
    </xf>
    <xf numFmtId="6" fontId="10" fillId="0" borderId="0" xfId="0" applyNumberFormat="1" applyFont="1" applyBorder="1" applyAlignment="1">
      <alignment/>
    </xf>
    <xf numFmtId="165" fontId="15" fillId="0" borderId="0" xfId="0" applyNumberFormat="1" applyFont="1" applyBorder="1" applyAlignment="1">
      <alignment/>
    </xf>
    <xf numFmtId="6" fontId="10" fillId="0" borderId="5" xfId="0" applyNumberFormat="1" applyFont="1" applyBorder="1" applyAlignment="1">
      <alignment/>
    </xf>
    <xf numFmtId="6" fontId="14" fillId="0" borderId="4" xfId="0" applyNumberFormat="1" applyFont="1" applyBorder="1" applyAlignment="1">
      <alignment/>
    </xf>
    <xf numFmtId="6" fontId="10" fillId="0" borderId="4" xfId="0" applyNumberFormat="1" applyFont="1" applyBorder="1" applyAlignment="1">
      <alignment/>
    </xf>
    <xf numFmtId="6" fontId="10" fillId="0" borderId="6" xfId="0" applyNumberFormat="1" applyFont="1" applyBorder="1" applyAlignment="1">
      <alignment/>
    </xf>
    <xf numFmtId="165" fontId="15" fillId="0" borderId="7" xfId="0" applyNumberFormat="1" applyFont="1" applyBorder="1" applyAlignment="1">
      <alignment/>
    </xf>
    <xf numFmtId="0" fontId="9" fillId="0" borderId="0" xfId="0" applyFont="1" applyAlignment="1">
      <alignment horizontal="left"/>
    </xf>
    <xf numFmtId="164" fontId="13" fillId="2" borderId="0" xfId="17" applyNumberFormat="1" applyFont="1" applyAlignment="1">
      <alignment/>
    </xf>
    <xf numFmtId="44" fontId="13" fillId="2" borderId="1" xfId="17" applyFont="1" applyBorder="1" applyAlignment="1">
      <alignment/>
    </xf>
    <xf numFmtId="165" fontId="11" fillId="0" borderId="0" xfId="0" applyNumberFormat="1" applyFont="1" applyAlignment="1">
      <alignment/>
    </xf>
    <xf numFmtId="0" fontId="17" fillId="0" borderId="0" xfId="0" applyFont="1" applyAlignment="1">
      <alignment horizontal="left"/>
    </xf>
    <xf numFmtId="165" fontId="15" fillId="0" borderId="1" xfId="0" applyNumberFormat="1" applyFont="1" applyBorder="1" applyAlignment="1">
      <alignment/>
    </xf>
    <xf numFmtId="0" fontId="9" fillId="0" borderId="8" xfId="0" applyFont="1" applyBorder="1" applyAlignment="1">
      <alignment horizontal="left"/>
    </xf>
    <xf numFmtId="6" fontId="13" fillId="0" borderId="8" xfId="0" applyNumberFormat="1" applyFont="1" applyBorder="1" applyAlignment="1">
      <alignment/>
    </xf>
    <xf numFmtId="6" fontId="13" fillId="0" borderId="9" xfId="0" applyNumberFormat="1" applyFont="1" applyBorder="1" applyAlignment="1">
      <alignment/>
    </xf>
    <xf numFmtId="165" fontId="11" fillId="0" borderId="8" xfId="0" applyNumberFormat="1" applyFont="1" applyBorder="1" applyAlignment="1">
      <alignment/>
    </xf>
    <xf numFmtId="0" fontId="10" fillId="0" borderId="5" xfId="0" applyFont="1" applyBorder="1" applyAlignment="1">
      <alignment/>
    </xf>
    <xf numFmtId="0" fontId="16" fillId="0" borderId="0" xfId="0" applyFont="1" applyAlignment="1">
      <alignment/>
    </xf>
    <xf numFmtId="6" fontId="10" fillId="0" borderId="3" xfId="0" applyNumberFormat="1" applyFont="1" applyBorder="1" applyAlignment="1">
      <alignment/>
    </xf>
    <xf numFmtId="6" fontId="10" fillId="0" borderId="9" xfId="0" applyNumberFormat="1" applyFont="1" applyBorder="1" applyAlignment="1">
      <alignment/>
    </xf>
    <xf numFmtId="0" fontId="12" fillId="0" borderId="8" xfId="0" applyFont="1" applyBorder="1" applyAlignment="1">
      <alignment horizontal="left"/>
    </xf>
    <xf numFmtId="6" fontId="10" fillId="0" borderId="8" xfId="0" applyNumberFormat="1" applyFont="1" applyBorder="1" applyAlignment="1">
      <alignment/>
    </xf>
    <xf numFmtId="165" fontId="15" fillId="0" borderId="8" xfId="0" applyNumberFormat="1" applyFont="1" applyBorder="1" applyAlignment="1">
      <alignment/>
    </xf>
    <xf numFmtId="0" fontId="14" fillId="0" borderId="0" xfId="0" applyFont="1" applyAlignment="1">
      <alignment horizontal="left"/>
    </xf>
    <xf numFmtId="6" fontId="10" fillId="0" borderId="10" xfId="0" applyNumberFormat="1" applyFont="1" applyBorder="1" applyAlignment="1">
      <alignment/>
    </xf>
    <xf numFmtId="167" fontId="14" fillId="0" borderId="0" xfId="0" applyNumberFormat="1" applyFont="1" applyAlignment="1">
      <alignment/>
    </xf>
    <xf numFmtId="0" fontId="12" fillId="0" borderId="11" xfId="0" applyFont="1" applyBorder="1" applyAlignment="1">
      <alignment horizontal="left"/>
    </xf>
    <xf numFmtId="6" fontId="13" fillId="0" borderId="11" xfId="0" applyNumberFormat="1" applyFont="1" applyBorder="1" applyAlignment="1">
      <alignment/>
    </xf>
    <xf numFmtId="6" fontId="13" fillId="0" borderId="12" xfId="0" applyNumberFormat="1" applyFont="1" applyBorder="1" applyAlignment="1">
      <alignment/>
    </xf>
    <xf numFmtId="165" fontId="11" fillId="0" borderId="11" xfId="0" applyNumberFormat="1" applyFont="1" applyBorder="1" applyAlignment="1">
      <alignment/>
    </xf>
    <xf numFmtId="10" fontId="15" fillId="0" borderId="0" xfId="0" applyNumberFormat="1" applyFont="1" applyAlignment="1">
      <alignment/>
    </xf>
    <xf numFmtId="10" fontId="15" fillId="0" borderId="1" xfId="0" applyNumberFormat="1" applyFont="1" applyBorder="1" applyAlignment="1">
      <alignment/>
    </xf>
    <xf numFmtId="164" fontId="10" fillId="0" borderId="0" xfId="17" applyNumberFormat="1" applyFont="1" applyAlignment="1">
      <alignment/>
    </xf>
    <xf numFmtId="0" fontId="2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165" fontId="11" fillId="0" borderId="5" xfId="0" applyNumberFormat="1" applyFont="1" applyBorder="1" applyAlignment="1">
      <alignment horizontal="right"/>
    </xf>
    <xf numFmtId="165" fontId="11" fillId="0" borderId="13" xfId="0" applyNumberFormat="1" applyFont="1" applyBorder="1" applyAlignment="1">
      <alignment horizontal="center"/>
    </xf>
    <xf numFmtId="165" fontId="15" fillId="0" borderId="5" xfId="0" applyNumberFormat="1" applyFont="1" applyBorder="1" applyAlignment="1">
      <alignment/>
    </xf>
    <xf numFmtId="165" fontId="11" fillId="0" borderId="14" xfId="0" applyNumberFormat="1" applyFont="1" applyBorder="1" applyAlignment="1">
      <alignment/>
    </xf>
    <xf numFmtId="165" fontId="18" fillId="0" borderId="0" xfId="0" applyNumberFormat="1" applyFont="1" applyAlignment="1">
      <alignment horizontal="left"/>
    </xf>
    <xf numFmtId="6" fontId="14" fillId="0" borderId="0" xfId="0" applyNumberFormat="1" applyFont="1" applyAlignment="1">
      <alignment/>
    </xf>
    <xf numFmtId="164" fontId="10" fillId="2" borderId="0" xfId="17" applyNumberFormat="1" applyFont="1" applyAlignment="1">
      <alignment/>
    </xf>
    <xf numFmtId="164" fontId="10" fillId="0" borderId="1" xfId="0" applyNumberFormat="1" applyFont="1" applyBorder="1" applyAlignment="1">
      <alignment/>
    </xf>
    <xf numFmtId="6" fontId="13" fillId="0" borderId="14" xfId="0" applyNumberFormat="1" applyFont="1" applyBorder="1" applyAlignment="1">
      <alignment/>
    </xf>
    <xf numFmtId="165" fontId="15" fillId="0" borderId="14" xfId="0" applyNumberFormat="1" applyFont="1" applyBorder="1" applyAlignment="1">
      <alignment/>
    </xf>
    <xf numFmtId="164" fontId="13" fillId="0" borderId="8" xfId="0" applyNumberFormat="1" applyFont="1" applyBorder="1" applyAlignment="1">
      <alignment/>
    </xf>
    <xf numFmtId="164" fontId="13" fillId="0" borderId="9" xfId="0" applyNumberFormat="1" applyFont="1" applyBorder="1" applyAlignment="1">
      <alignment/>
    </xf>
    <xf numFmtId="165" fontId="17" fillId="0" borderId="0" xfId="0" applyNumberFormat="1" applyFont="1" applyAlignment="1">
      <alignment horizontal="left"/>
    </xf>
    <xf numFmtId="165" fontId="15" fillId="0" borderId="10" xfId="0" applyNumberFormat="1" applyFont="1" applyBorder="1" applyAlignment="1">
      <alignment/>
    </xf>
    <xf numFmtId="165" fontId="10" fillId="0" borderId="5" xfId="0" applyNumberFormat="1" applyFont="1" applyBorder="1" applyAlignment="1">
      <alignment/>
    </xf>
    <xf numFmtId="0" fontId="18" fillId="0" borderId="0" xfId="0" applyFont="1" applyAlignment="1">
      <alignment/>
    </xf>
    <xf numFmtId="165" fontId="11" fillId="0" borderId="15" xfId="0" applyNumberFormat="1" applyFont="1" applyBorder="1" applyAlignment="1">
      <alignment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9" fillId="0" borderId="0" xfId="0" applyFont="1" applyAlignment="1">
      <alignment/>
    </xf>
    <xf numFmtId="0" fontId="16" fillId="0" borderId="2" xfId="0" applyFont="1" applyBorder="1" applyAlignment="1">
      <alignment/>
    </xf>
    <xf numFmtId="6" fontId="10" fillId="0" borderId="2" xfId="0" applyNumberFormat="1" applyFont="1" applyBorder="1" applyAlignment="1">
      <alignment/>
    </xf>
    <xf numFmtId="165" fontId="15" fillId="0" borderId="2" xfId="0" applyNumberFormat="1" applyFont="1" applyBorder="1" applyAlignment="1">
      <alignment/>
    </xf>
    <xf numFmtId="165" fontId="15" fillId="0" borderId="13" xfId="0" applyNumberFormat="1" applyFont="1" applyBorder="1" applyAlignment="1">
      <alignment/>
    </xf>
    <xf numFmtId="0" fontId="6" fillId="0" borderId="0" xfId="0" applyFont="1" applyBorder="1" applyAlignment="1">
      <alignment/>
    </xf>
    <xf numFmtId="165" fontId="15" fillId="0" borderId="16" xfId="0" applyNumberFormat="1" applyFont="1" applyBorder="1" applyAlignment="1">
      <alignment/>
    </xf>
    <xf numFmtId="0" fontId="9" fillId="0" borderId="17" xfId="0" applyFont="1" applyBorder="1" applyAlignment="1">
      <alignment/>
    </xf>
    <xf numFmtId="6" fontId="13" fillId="0" borderId="17" xfId="0" applyNumberFormat="1" applyFont="1" applyBorder="1" applyAlignment="1">
      <alignment/>
    </xf>
    <xf numFmtId="165" fontId="15" fillId="0" borderId="18" xfId="0" applyNumberFormat="1" applyFont="1" applyBorder="1" applyAlignment="1">
      <alignment/>
    </xf>
    <xf numFmtId="165" fontId="15" fillId="0" borderId="17" xfId="0" applyNumberFormat="1" applyFont="1" applyBorder="1" applyAlignment="1">
      <alignment/>
    </xf>
    <xf numFmtId="165" fontId="11" fillId="0" borderId="5" xfId="0" applyNumberFormat="1" applyFont="1" applyBorder="1" applyAlignment="1">
      <alignment/>
    </xf>
    <xf numFmtId="0" fontId="18" fillId="0" borderId="0" xfId="0" applyFont="1" applyAlignment="1">
      <alignment horizontal="left"/>
    </xf>
    <xf numFmtId="165" fontId="20" fillId="0" borderId="0" xfId="0" applyNumberFormat="1" applyFont="1" applyAlignment="1">
      <alignment horizontal="left"/>
    </xf>
    <xf numFmtId="0" fontId="9" fillId="0" borderId="8" xfId="0" applyFont="1" applyBorder="1" applyAlignment="1">
      <alignment/>
    </xf>
    <xf numFmtId="165" fontId="14" fillId="0" borderId="0" xfId="0" applyNumberFormat="1" applyFont="1" applyAlignment="1">
      <alignment horizontal="left"/>
    </xf>
    <xf numFmtId="165" fontId="10" fillId="0" borderId="1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Alignment="1">
      <alignment/>
    </xf>
    <xf numFmtId="165" fontId="13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165" fontId="13" fillId="0" borderId="2" xfId="0" applyNumberFormat="1" applyFont="1" applyBorder="1" applyAlignment="1">
      <alignment horizontal="center"/>
    </xf>
    <xf numFmtId="165" fontId="13" fillId="0" borderId="8" xfId="0" applyNumberFormat="1" applyFont="1" applyBorder="1" applyAlignment="1">
      <alignment/>
    </xf>
    <xf numFmtId="6" fontId="13" fillId="0" borderId="0" xfId="0" applyNumberFormat="1" applyFont="1" applyBorder="1" applyAlignment="1">
      <alignment/>
    </xf>
    <xf numFmtId="6" fontId="13" fillId="0" borderId="1" xfId="0" applyNumberFormat="1" applyFont="1" applyBorder="1" applyAlignment="1">
      <alignment/>
    </xf>
    <xf numFmtId="165" fontId="13" fillId="0" borderId="0" xfId="0" applyNumberFormat="1" applyFont="1" applyBorder="1" applyAlignment="1">
      <alignment/>
    </xf>
    <xf numFmtId="0" fontId="21" fillId="0" borderId="0" xfId="0" applyFont="1" applyAlignment="1">
      <alignment/>
    </xf>
    <xf numFmtId="0" fontId="12" fillId="0" borderId="11" xfId="0" applyFont="1" applyBorder="1" applyAlignment="1">
      <alignment/>
    </xf>
    <xf numFmtId="165" fontId="13" fillId="0" borderId="11" xfId="0" applyNumberFormat="1" applyFont="1" applyBorder="1" applyAlignment="1">
      <alignment/>
    </xf>
    <xf numFmtId="165" fontId="17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1" xfId="0" applyFont="1" applyBorder="1" applyAlignment="1">
      <alignment/>
    </xf>
    <xf numFmtId="165" fontId="13" fillId="0" borderId="5" xfId="0" applyNumberFormat="1" applyFont="1" applyBorder="1" applyAlignment="1">
      <alignment horizontal="right"/>
    </xf>
    <xf numFmtId="165" fontId="13" fillId="0" borderId="13" xfId="0" applyNumberFormat="1" applyFont="1" applyBorder="1" applyAlignment="1">
      <alignment horizontal="center"/>
    </xf>
    <xf numFmtId="165" fontId="10" fillId="0" borderId="14" xfId="0" applyNumberFormat="1" applyFont="1" applyBorder="1" applyAlignment="1">
      <alignment/>
    </xf>
    <xf numFmtId="165" fontId="10" fillId="0" borderId="8" xfId="0" applyNumberFormat="1" applyFont="1" applyBorder="1" applyAlignment="1">
      <alignment/>
    </xf>
    <xf numFmtId="165" fontId="10" fillId="0" borderId="0" xfId="0" applyNumberFormat="1" applyFont="1" applyBorder="1" applyAlignment="1">
      <alignment/>
    </xf>
    <xf numFmtId="165" fontId="22" fillId="0" borderId="0" xfId="0" applyNumberFormat="1" applyFont="1" applyAlignment="1">
      <alignment horizontal="left"/>
    </xf>
    <xf numFmtId="0" fontId="12" fillId="0" borderId="8" xfId="0" applyFont="1" applyBorder="1" applyAlignment="1">
      <alignment/>
    </xf>
    <xf numFmtId="165" fontId="13" fillId="0" borderId="14" xfId="0" applyNumberFormat="1" applyFont="1" applyBorder="1" applyAlignment="1">
      <alignment/>
    </xf>
    <xf numFmtId="165" fontId="13" fillId="0" borderId="10" xfId="0" applyNumberFormat="1" applyFont="1" applyBorder="1" applyAlignment="1">
      <alignment/>
    </xf>
    <xf numFmtId="165" fontId="13" fillId="0" borderId="15" xfId="0" applyNumberFormat="1" applyFont="1" applyBorder="1" applyAlignment="1">
      <alignment/>
    </xf>
    <xf numFmtId="165" fontId="9" fillId="2" borderId="0" xfId="19" applyNumberFormat="1" applyFont="1" applyAlignment="1">
      <alignment/>
    </xf>
    <xf numFmtId="1" fontId="13" fillId="0" borderId="2" xfId="0" applyNumberFormat="1" applyFont="1" applyBorder="1" applyAlignment="1">
      <alignment horizontal="center"/>
    </xf>
    <xf numFmtId="165" fontId="11" fillId="0" borderId="10" xfId="0" applyNumberFormat="1" applyFont="1" applyBorder="1" applyAlignment="1">
      <alignment/>
    </xf>
    <xf numFmtId="165" fontId="11" fillId="0" borderId="0" xfId="0" applyNumberFormat="1" applyFont="1" applyBorder="1" applyAlignment="1">
      <alignment/>
    </xf>
    <xf numFmtId="6" fontId="16" fillId="0" borderId="0" xfId="0" applyNumberFormat="1" applyFont="1" applyAlignment="1">
      <alignment/>
    </xf>
    <xf numFmtId="6" fontId="23" fillId="0" borderId="0" xfId="0" applyNumberFormat="1" applyFont="1" applyAlignment="1">
      <alignment/>
    </xf>
    <xf numFmtId="6" fontId="13" fillId="0" borderId="6" xfId="0" applyNumberFormat="1" applyFont="1" applyBorder="1" applyAlignment="1">
      <alignment/>
    </xf>
    <xf numFmtId="6" fontId="10" fillId="0" borderId="14" xfId="0" applyNumberFormat="1" applyFont="1" applyBorder="1" applyAlignment="1">
      <alignment/>
    </xf>
    <xf numFmtId="0" fontId="24" fillId="0" borderId="0" xfId="0" applyFont="1" applyAlignment="1">
      <alignment/>
    </xf>
    <xf numFmtId="0" fontId="10" fillId="0" borderId="4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llCompany\AllCompanyFinancialFramewor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"/>
      <sheetName val="Justification"/>
      <sheetName val="Gross Profit - Yr 1"/>
      <sheetName val="Gross Profit - Yrs 2-3"/>
      <sheetName val="Gross Profit - Yrs 1-5"/>
      <sheetName val="Budget - Yr 1"/>
      <sheetName val="Budget - Yrs 2-3"/>
      <sheetName val="Budget - Yrs 1-5"/>
      <sheetName val="Income - Yr 1"/>
      <sheetName val="Income - Yrs 2-3"/>
      <sheetName val="Income - Yrs 1-5"/>
      <sheetName val="Balance - Yr 1"/>
      <sheetName val="Balance - Yrs 2-3"/>
      <sheetName val="Balance - Yrs 1-5"/>
      <sheetName val="Cash Flow - Yr 1"/>
      <sheetName val="Cash Flow - Yrs 2-3"/>
      <sheetName val="Cash Flow - Yrs 1-5"/>
      <sheetName val="Ratios"/>
      <sheetName val="Break-Even"/>
      <sheetName val="Sensitivity"/>
      <sheetName val="Revenue Projections"/>
      <sheetName val="Working Capital"/>
    </sheetNames>
    <sheetDataSet>
      <sheetData sheetId="0">
        <row r="10">
          <cell r="C10" t="str">
            <v>The All Company</v>
          </cell>
        </row>
        <row r="12">
          <cell r="B12" t="str">
            <v>S</v>
          </cell>
        </row>
        <row r="13">
          <cell r="B13" t="str">
            <v>P</v>
          </cell>
        </row>
        <row r="14">
          <cell r="B14" t="str">
            <v>D</v>
          </cell>
        </row>
        <row r="15">
          <cell r="B15" t="str">
            <v>N</v>
          </cell>
        </row>
        <row r="21">
          <cell r="A21" t="str">
            <v>E-commerce Revenues</v>
          </cell>
        </row>
        <row r="22">
          <cell r="A22" t="str">
            <v>Advertising Sales Revenues</v>
          </cell>
        </row>
        <row r="23">
          <cell r="A23" t="str">
            <v>Membership List Sales Revenues</v>
          </cell>
        </row>
        <row r="24">
          <cell r="A24" t="str">
            <v>Publication Revenues</v>
          </cell>
        </row>
        <row r="25">
          <cell r="A25" t="str">
            <v>TV Program Production Revenues</v>
          </cell>
        </row>
        <row r="38">
          <cell r="B38" t="str">
            <v>Year 2</v>
          </cell>
          <cell r="C38" t="str">
            <v>Year 3</v>
          </cell>
          <cell r="D38" t="str">
            <v>Year 4</v>
          </cell>
          <cell r="E38" t="str">
            <v>Year 5</v>
          </cell>
        </row>
        <row r="59">
          <cell r="N59" t="str">
            <v>Year 1</v>
          </cell>
        </row>
        <row r="76">
          <cell r="B76" t="str">
            <v>Q1-Yr2</v>
          </cell>
          <cell r="C76" t="str">
            <v>Q2-Yr2</v>
          </cell>
          <cell r="D76" t="str">
            <v>Q3-Yr2</v>
          </cell>
          <cell r="E76" t="str">
            <v>Q4-Yr2</v>
          </cell>
          <cell r="F76" t="str">
            <v>Year 2</v>
          </cell>
          <cell r="G76" t="str">
            <v>Q1-Yr3</v>
          </cell>
          <cell r="H76" t="str">
            <v>Q2-Yr3</v>
          </cell>
          <cell r="I76" t="str">
            <v>Q3-Yr3</v>
          </cell>
          <cell r="J76" t="str">
            <v>Q4-Yr3</v>
          </cell>
          <cell r="K76" t="str">
            <v>Year 3</v>
          </cell>
          <cell r="L76" t="str">
            <v>Year 4</v>
          </cell>
          <cell r="M76" t="str">
            <v>Year 5</v>
          </cell>
        </row>
        <row r="81">
          <cell r="L81">
            <v>4500000</v>
          </cell>
          <cell r="M81">
            <v>4500000</v>
          </cell>
        </row>
        <row r="210">
          <cell r="A210" t="str">
            <v>e-Commerce Cost of Sales</v>
          </cell>
        </row>
        <row r="211">
          <cell r="A211" t="str">
            <v>Production Cost of Sales</v>
          </cell>
          <cell r="B211">
            <v>12500</v>
          </cell>
          <cell r="C211">
            <v>12500</v>
          </cell>
          <cell r="D211">
            <v>12500</v>
          </cell>
          <cell r="E211">
            <v>12500</v>
          </cell>
          <cell r="F211">
            <v>12500</v>
          </cell>
          <cell r="G211">
            <v>12500</v>
          </cell>
          <cell r="H211">
            <v>12500</v>
          </cell>
          <cell r="I211">
            <v>12500</v>
          </cell>
          <cell r="J211">
            <v>12500</v>
          </cell>
          <cell r="K211">
            <v>12500</v>
          </cell>
          <cell r="L211">
            <v>12500</v>
          </cell>
          <cell r="M211">
            <v>12500</v>
          </cell>
        </row>
        <row r="222">
          <cell r="B222">
            <v>251999.99999999997</v>
          </cell>
          <cell r="C222">
            <v>251999.99999999997</v>
          </cell>
          <cell r="D222">
            <v>251999.99999999997</v>
          </cell>
          <cell r="E222">
            <v>251999.99999999997</v>
          </cell>
          <cell r="G222">
            <v>427000</v>
          </cell>
          <cell r="H222">
            <v>427000</v>
          </cell>
          <cell r="I222">
            <v>427000</v>
          </cell>
          <cell r="J222">
            <v>427000</v>
          </cell>
          <cell r="L222">
            <v>3360000</v>
          </cell>
          <cell r="M222">
            <v>10080000</v>
          </cell>
        </row>
        <row r="223">
          <cell r="B223">
            <v>37500</v>
          </cell>
          <cell r="C223">
            <v>37500</v>
          </cell>
          <cell r="D223">
            <v>37500</v>
          </cell>
          <cell r="E223">
            <v>37500</v>
          </cell>
          <cell r="G223">
            <v>37500</v>
          </cell>
          <cell r="H223">
            <v>37500</v>
          </cell>
          <cell r="I223">
            <v>37500</v>
          </cell>
          <cell r="J223">
            <v>37500</v>
          </cell>
          <cell r="L223">
            <v>150000</v>
          </cell>
          <cell r="M223">
            <v>150000</v>
          </cell>
        </row>
        <row r="224">
          <cell r="B224">
            <v>734000</v>
          </cell>
          <cell r="C224">
            <v>734000</v>
          </cell>
          <cell r="D224">
            <v>734000</v>
          </cell>
          <cell r="E224">
            <v>734000</v>
          </cell>
          <cell r="G224">
            <v>964600</v>
          </cell>
          <cell r="H224">
            <v>964600</v>
          </cell>
          <cell r="I224">
            <v>964600</v>
          </cell>
          <cell r="J224">
            <v>964600</v>
          </cell>
          <cell r="L224">
            <v>4933600</v>
          </cell>
          <cell r="M224">
            <v>6316000</v>
          </cell>
        </row>
        <row r="230">
          <cell r="B230">
            <v>1023500</v>
          </cell>
          <cell r="C230">
            <v>1023500</v>
          </cell>
          <cell r="D230">
            <v>1023500</v>
          </cell>
          <cell r="E230">
            <v>1023500</v>
          </cell>
          <cell r="G230">
            <v>1429100</v>
          </cell>
          <cell r="H230">
            <v>1429100</v>
          </cell>
          <cell r="I230">
            <v>1429100</v>
          </cell>
          <cell r="J230">
            <v>1429100</v>
          </cell>
          <cell r="L230">
            <v>8443600</v>
          </cell>
          <cell r="M230">
            <v>16546000</v>
          </cell>
        </row>
        <row r="236">
          <cell r="A236" t="str">
            <v>Advertising</v>
          </cell>
          <cell r="B236" t="str">
            <v>S</v>
          </cell>
          <cell r="Y236" t="str">
            <v>Error@$B$229</v>
          </cell>
          <cell r="AA236" t="str">
            <v/>
          </cell>
          <cell r="AB236" t="str">
            <v>Error@$D$229</v>
          </cell>
        </row>
        <row r="267">
          <cell r="B267">
            <v>250000</v>
          </cell>
          <cell r="C267">
            <v>250000</v>
          </cell>
          <cell r="D267">
            <v>250000</v>
          </cell>
          <cell r="E267">
            <v>250000</v>
          </cell>
          <cell r="F267">
            <v>250000</v>
          </cell>
          <cell r="G267">
            <v>250000</v>
          </cell>
          <cell r="H267">
            <v>250000</v>
          </cell>
          <cell r="I267">
            <v>250000</v>
          </cell>
          <cell r="J267">
            <v>250000</v>
          </cell>
          <cell r="K267">
            <v>250000</v>
          </cell>
          <cell r="L267">
            <v>250000</v>
          </cell>
          <cell r="M267">
            <v>250000</v>
          </cell>
        </row>
        <row r="281">
          <cell r="B281">
            <v>1250000</v>
          </cell>
          <cell r="C281">
            <v>1250000</v>
          </cell>
          <cell r="D281">
            <v>1250000</v>
          </cell>
          <cell r="E281">
            <v>1250000</v>
          </cell>
          <cell r="G281">
            <v>2500000</v>
          </cell>
          <cell r="H281">
            <v>2500000</v>
          </cell>
          <cell r="I281">
            <v>2500000</v>
          </cell>
          <cell r="J281">
            <v>2500000</v>
          </cell>
          <cell r="L281">
            <v>20000000</v>
          </cell>
          <cell r="M281">
            <v>30000000</v>
          </cell>
        </row>
        <row r="337">
          <cell r="A337" t="str">
            <v>General &amp; Administrative</v>
          </cell>
        </row>
        <row r="377">
          <cell r="A377" t="str">
            <v>Salary Payroll</v>
          </cell>
          <cell r="B377">
            <v>115833.33333333333</v>
          </cell>
          <cell r="C377">
            <v>115833.33333333333</v>
          </cell>
          <cell r="D377">
            <v>115833.33333333333</v>
          </cell>
          <cell r="E377">
            <v>115833.33333333333</v>
          </cell>
          <cell r="F377">
            <v>115833.33333333333</v>
          </cell>
          <cell r="G377">
            <v>115833.33333333333</v>
          </cell>
          <cell r="H377">
            <v>115833.33333333333</v>
          </cell>
          <cell r="I377">
            <v>115833.33333333333</v>
          </cell>
          <cell r="J377">
            <v>115833.33333333333</v>
          </cell>
          <cell r="K377">
            <v>115833.33333333333</v>
          </cell>
          <cell r="L377">
            <v>115833.33333333333</v>
          </cell>
          <cell r="M377">
            <v>115833.33333333333</v>
          </cell>
        </row>
        <row r="378">
          <cell r="A378" t="str">
            <v>Fringe Benefits (20% of Salaries)</v>
          </cell>
          <cell r="B378">
            <v>23166.666666666668</v>
          </cell>
          <cell r="C378">
            <v>23166.666666666668</v>
          </cell>
          <cell r="D378">
            <v>23166.666666666668</v>
          </cell>
          <cell r="E378">
            <v>23166.666666666668</v>
          </cell>
          <cell r="F378">
            <v>23166.666666666668</v>
          </cell>
          <cell r="G378">
            <v>23166.666666666668</v>
          </cell>
          <cell r="H378">
            <v>23166.666666666668</v>
          </cell>
          <cell r="I378">
            <v>23166.666666666668</v>
          </cell>
          <cell r="J378">
            <v>23166.666666666668</v>
          </cell>
          <cell r="K378">
            <v>23166.666666666668</v>
          </cell>
          <cell r="L378">
            <v>23166.666666666668</v>
          </cell>
          <cell r="M378">
            <v>23166.666666666668</v>
          </cell>
        </row>
        <row r="379">
          <cell r="A379" t="str">
            <v>Bonuses (20% of salaries)</v>
          </cell>
          <cell r="B379">
            <v>23166.666666666668</v>
          </cell>
          <cell r="C379">
            <v>23166.666666666668</v>
          </cell>
          <cell r="D379">
            <v>23166.666666666668</v>
          </cell>
          <cell r="E379">
            <v>23166.666666666668</v>
          </cell>
          <cell r="F379">
            <v>23166.666666666668</v>
          </cell>
          <cell r="G379">
            <v>23166.666666666668</v>
          </cell>
          <cell r="H379">
            <v>23166.666666666668</v>
          </cell>
          <cell r="I379">
            <v>23166.666666666668</v>
          </cell>
          <cell r="J379">
            <v>23166.666666666668</v>
          </cell>
          <cell r="K379">
            <v>23166.666666666668</v>
          </cell>
          <cell r="L379">
            <v>23166.666666666668</v>
          </cell>
          <cell r="M379">
            <v>23166.666666666668</v>
          </cell>
        </row>
        <row r="380">
          <cell r="A380" t="str">
            <v>Travel &amp; Entertainment</v>
          </cell>
          <cell r="B380">
            <v>7000</v>
          </cell>
          <cell r="C380">
            <v>7000</v>
          </cell>
          <cell r="D380">
            <v>7000</v>
          </cell>
          <cell r="E380">
            <v>7000</v>
          </cell>
          <cell r="F380">
            <v>7000</v>
          </cell>
          <cell r="G380">
            <v>7000</v>
          </cell>
          <cell r="H380">
            <v>7000</v>
          </cell>
          <cell r="I380">
            <v>7000</v>
          </cell>
          <cell r="J380">
            <v>7000</v>
          </cell>
          <cell r="K380">
            <v>7000</v>
          </cell>
          <cell r="L380">
            <v>7000</v>
          </cell>
          <cell r="M380">
            <v>7000</v>
          </cell>
        </row>
        <row r="381">
          <cell r="A381" t="str">
            <v>Co-Location Network Costs</v>
          </cell>
          <cell r="B381">
            <v>8333.333333333334</v>
          </cell>
          <cell r="C381">
            <v>8333.333333333334</v>
          </cell>
          <cell r="D381">
            <v>8333.333333333334</v>
          </cell>
          <cell r="E381">
            <v>8333.333333333334</v>
          </cell>
          <cell r="F381">
            <v>8333.333333333334</v>
          </cell>
          <cell r="G381">
            <v>8333.333333333334</v>
          </cell>
          <cell r="H381">
            <v>8333.333333333334</v>
          </cell>
          <cell r="I381">
            <v>8333.333333333334</v>
          </cell>
          <cell r="J381">
            <v>8333.333333333334</v>
          </cell>
          <cell r="K381">
            <v>8333.333333333334</v>
          </cell>
          <cell r="L381">
            <v>8333.333333333334</v>
          </cell>
          <cell r="M381">
            <v>8333.333333333334</v>
          </cell>
        </row>
        <row r="382">
          <cell r="A382" t="str">
            <v>Legal &amp; Consulting Fees</v>
          </cell>
          <cell r="B382">
            <v>10000</v>
          </cell>
          <cell r="C382">
            <v>10000</v>
          </cell>
          <cell r="D382">
            <v>10000</v>
          </cell>
          <cell r="E382">
            <v>10000</v>
          </cell>
          <cell r="F382">
            <v>10000</v>
          </cell>
          <cell r="G382">
            <v>10000</v>
          </cell>
          <cell r="H382">
            <v>10000</v>
          </cell>
          <cell r="I382">
            <v>10000</v>
          </cell>
          <cell r="J382">
            <v>10000</v>
          </cell>
          <cell r="K382">
            <v>10000</v>
          </cell>
          <cell r="L382">
            <v>10000</v>
          </cell>
          <cell r="M382">
            <v>10000</v>
          </cell>
        </row>
        <row r="383">
          <cell r="A383" t="str">
            <v>Leases - Copier               </v>
          </cell>
          <cell r="B383">
            <v>332.50333333333333</v>
          </cell>
          <cell r="C383">
            <v>332.50333333333333</v>
          </cell>
          <cell r="D383">
            <v>332.50333333333333</v>
          </cell>
          <cell r="E383">
            <v>332.50333333333333</v>
          </cell>
          <cell r="F383">
            <v>332.50333333333333</v>
          </cell>
          <cell r="G383">
            <v>332.50333333333333</v>
          </cell>
          <cell r="H383">
            <v>332.50333333333333</v>
          </cell>
          <cell r="I383">
            <v>332.50333333333333</v>
          </cell>
          <cell r="J383">
            <v>332.50333333333333</v>
          </cell>
          <cell r="K383">
            <v>332.50333333333333</v>
          </cell>
          <cell r="L383">
            <v>332.50333333333333</v>
          </cell>
          <cell r="M383">
            <v>332.50333333333333</v>
          </cell>
        </row>
        <row r="384">
          <cell r="A384" t="str">
            <v>Lease  - Telephone            </v>
          </cell>
          <cell r="B384">
            <v>1627.4333333333334</v>
          </cell>
          <cell r="C384">
            <v>1627.4333333333334</v>
          </cell>
          <cell r="D384">
            <v>1627.4333333333334</v>
          </cell>
          <cell r="E384">
            <v>1627.4333333333334</v>
          </cell>
          <cell r="F384">
            <v>1627.4333333333334</v>
          </cell>
          <cell r="G384">
            <v>1627.4333333333334</v>
          </cell>
          <cell r="H384">
            <v>1627.4333333333334</v>
          </cell>
          <cell r="I384">
            <v>1627.4333333333334</v>
          </cell>
          <cell r="J384">
            <v>1627.4333333333334</v>
          </cell>
          <cell r="K384">
            <v>1627.4333333333334</v>
          </cell>
          <cell r="L384">
            <v>1627.4333333333334</v>
          </cell>
          <cell r="M384">
            <v>1627.4333333333334</v>
          </cell>
        </row>
        <row r="385">
          <cell r="A385" t="str">
            <v>Office Internet access</v>
          </cell>
          <cell r="B385">
            <v>750</v>
          </cell>
          <cell r="C385">
            <v>750</v>
          </cell>
          <cell r="D385">
            <v>750</v>
          </cell>
          <cell r="E385">
            <v>750</v>
          </cell>
          <cell r="F385">
            <v>750</v>
          </cell>
          <cell r="G385">
            <v>750</v>
          </cell>
          <cell r="H385">
            <v>750</v>
          </cell>
          <cell r="I385">
            <v>750</v>
          </cell>
          <cell r="J385">
            <v>750</v>
          </cell>
          <cell r="K385">
            <v>750</v>
          </cell>
          <cell r="L385">
            <v>750</v>
          </cell>
          <cell r="M385">
            <v>750</v>
          </cell>
        </row>
        <row r="386">
          <cell r="A386" t="str">
            <v>Postage &amp; Delivery            </v>
          </cell>
          <cell r="B386">
            <v>2000</v>
          </cell>
          <cell r="C386">
            <v>2000</v>
          </cell>
          <cell r="D386">
            <v>2000</v>
          </cell>
          <cell r="E386">
            <v>2000</v>
          </cell>
          <cell r="F386">
            <v>2000</v>
          </cell>
          <cell r="G386">
            <v>2000</v>
          </cell>
          <cell r="H386">
            <v>2000</v>
          </cell>
          <cell r="I386">
            <v>2000</v>
          </cell>
          <cell r="J386">
            <v>2000</v>
          </cell>
          <cell r="K386">
            <v>2000</v>
          </cell>
          <cell r="L386">
            <v>2000</v>
          </cell>
          <cell r="M386">
            <v>2000</v>
          </cell>
        </row>
        <row r="387">
          <cell r="A387" t="str">
            <v>Rent Expense                  </v>
          </cell>
          <cell r="B387">
            <v>6000</v>
          </cell>
          <cell r="C387">
            <v>6000</v>
          </cell>
          <cell r="D387">
            <v>6000</v>
          </cell>
          <cell r="E387">
            <v>6000</v>
          </cell>
          <cell r="F387">
            <v>6000</v>
          </cell>
          <cell r="G387">
            <v>6000</v>
          </cell>
          <cell r="H387">
            <v>6000</v>
          </cell>
          <cell r="I387">
            <v>6000</v>
          </cell>
          <cell r="J387">
            <v>6000</v>
          </cell>
          <cell r="K387">
            <v>6000</v>
          </cell>
          <cell r="L387">
            <v>6000</v>
          </cell>
          <cell r="M387">
            <v>6000</v>
          </cell>
        </row>
        <row r="388">
          <cell r="A388" t="str">
            <v>Utilities                     </v>
          </cell>
          <cell r="B388">
            <v>1000</v>
          </cell>
          <cell r="C388">
            <v>1000</v>
          </cell>
          <cell r="D388">
            <v>1000</v>
          </cell>
          <cell r="E388">
            <v>1000</v>
          </cell>
          <cell r="F388">
            <v>1000</v>
          </cell>
          <cell r="G388">
            <v>1000</v>
          </cell>
          <cell r="H388">
            <v>1000</v>
          </cell>
          <cell r="I388">
            <v>1000</v>
          </cell>
          <cell r="J388">
            <v>1000</v>
          </cell>
          <cell r="K388">
            <v>1000</v>
          </cell>
          <cell r="L388">
            <v>1000</v>
          </cell>
          <cell r="M388">
            <v>1000</v>
          </cell>
        </row>
        <row r="389">
          <cell r="A389" t="str">
            <v>Miscellaneous</v>
          </cell>
          <cell r="B389">
            <v>10000</v>
          </cell>
          <cell r="C389">
            <v>10000</v>
          </cell>
          <cell r="D389">
            <v>10000</v>
          </cell>
          <cell r="E389">
            <v>10000</v>
          </cell>
          <cell r="F389">
            <v>10000</v>
          </cell>
          <cell r="G389">
            <v>10000</v>
          </cell>
          <cell r="H389">
            <v>10000</v>
          </cell>
          <cell r="I389">
            <v>10000</v>
          </cell>
          <cell r="J389">
            <v>10000</v>
          </cell>
          <cell r="K389">
            <v>10000</v>
          </cell>
          <cell r="L389">
            <v>10000</v>
          </cell>
          <cell r="M389">
            <v>10000</v>
          </cell>
        </row>
        <row r="390">
          <cell r="A390" t="str">
            <v>Web Maintenance</v>
          </cell>
          <cell r="B390">
            <v>8333.333333333334</v>
          </cell>
          <cell r="C390">
            <v>8333.333333333334</v>
          </cell>
          <cell r="D390">
            <v>8333.333333333334</v>
          </cell>
          <cell r="E390">
            <v>8333.333333333334</v>
          </cell>
          <cell r="F390">
            <v>8333.333333333334</v>
          </cell>
          <cell r="G390">
            <v>8333.333333333334</v>
          </cell>
          <cell r="H390">
            <v>8333.333333333334</v>
          </cell>
          <cell r="I390">
            <v>8333.333333333334</v>
          </cell>
          <cell r="J390">
            <v>8333.333333333334</v>
          </cell>
          <cell r="K390">
            <v>8333.333333333334</v>
          </cell>
          <cell r="L390">
            <v>8333.333333333334</v>
          </cell>
          <cell r="M390">
            <v>8333.333333333334</v>
          </cell>
        </row>
        <row r="395">
          <cell r="B395">
            <v>415000</v>
          </cell>
          <cell r="C395">
            <v>415000</v>
          </cell>
          <cell r="D395">
            <v>415000</v>
          </cell>
          <cell r="E395">
            <v>415000</v>
          </cell>
          <cell r="G395">
            <v>636250</v>
          </cell>
          <cell r="H395">
            <v>636250</v>
          </cell>
          <cell r="I395">
            <v>636250</v>
          </cell>
          <cell r="J395">
            <v>636250</v>
          </cell>
          <cell r="L395">
            <v>3540000</v>
          </cell>
          <cell r="M395">
            <v>4730000</v>
          </cell>
        </row>
        <row r="396">
          <cell r="B396">
            <v>83000</v>
          </cell>
          <cell r="C396">
            <v>83000</v>
          </cell>
          <cell r="D396">
            <v>83000</v>
          </cell>
          <cell r="E396">
            <v>83000</v>
          </cell>
          <cell r="G396">
            <v>127250</v>
          </cell>
          <cell r="H396">
            <v>127250</v>
          </cell>
          <cell r="I396">
            <v>127250</v>
          </cell>
          <cell r="J396">
            <v>127250</v>
          </cell>
          <cell r="L396">
            <v>708000</v>
          </cell>
          <cell r="M396">
            <v>946000</v>
          </cell>
        </row>
        <row r="397">
          <cell r="B397">
            <v>83000</v>
          </cell>
          <cell r="C397">
            <v>83000</v>
          </cell>
          <cell r="D397">
            <v>83000</v>
          </cell>
          <cell r="E397">
            <v>83000</v>
          </cell>
          <cell r="G397">
            <v>127250</v>
          </cell>
          <cell r="H397">
            <v>127250</v>
          </cell>
          <cell r="I397">
            <v>127250</v>
          </cell>
          <cell r="J397">
            <v>127250</v>
          </cell>
          <cell r="L397">
            <v>708000</v>
          </cell>
          <cell r="M397">
            <v>946000</v>
          </cell>
        </row>
        <row r="398">
          <cell r="B398">
            <v>21000</v>
          </cell>
          <cell r="C398">
            <v>21000</v>
          </cell>
          <cell r="D398">
            <v>21000</v>
          </cell>
          <cell r="E398">
            <v>21000</v>
          </cell>
          <cell r="G398">
            <v>21000</v>
          </cell>
          <cell r="H398">
            <v>21000</v>
          </cell>
          <cell r="I398">
            <v>21000</v>
          </cell>
          <cell r="J398">
            <v>21000</v>
          </cell>
          <cell r="L398">
            <v>90000</v>
          </cell>
          <cell r="M398">
            <v>90000</v>
          </cell>
        </row>
        <row r="399">
          <cell r="B399">
            <v>62500</v>
          </cell>
          <cell r="C399">
            <v>62500</v>
          </cell>
          <cell r="D399">
            <v>62500</v>
          </cell>
          <cell r="E399">
            <v>62500</v>
          </cell>
          <cell r="G399">
            <v>125000</v>
          </cell>
          <cell r="H399">
            <v>125000</v>
          </cell>
          <cell r="I399">
            <v>125000</v>
          </cell>
          <cell r="J399">
            <v>125000</v>
          </cell>
          <cell r="L399">
            <v>1000000</v>
          </cell>
          <cell r="M399">
            <v>2500000</v>
          </cell>
        </row>
        <row r="400">
          <cell r="B400">
            <v>40000</v>
          </cell>
          <cell r="C400">
            <v>40000</v>
          </cell>
          <cell r="D400">
            <v>40000</v>
          </cell>
          <cell r="E400">
            <v>40000</v>
          </cell>
          <cell r="G400">
            <v>50000</v>
          </cell>
          <cell r="H400">
            <v>50000</v>
          </cell>
          <cell r="I400">
            <v>50000</v>
          </cell>
          <cell r="J400">
            <v>50000</v>
          </cell>
          <cell r="L400">
            <v>250000</v>
          </cell>
          <cell r="M400">
            <v>250000</v>
          </cell>
        </row>
        <row r="401">
          <cell r="B401">
            <v>997.51</v>
          </cell>
          <cell r="C401">
            <v>997.51</v>
          </cell>
          <cell r="D401">
            <v>997.51</v>
          </cell>
          <cell r="E401">
            <v>997.51</v>
          </cell>
          <cell r="G401">
            <v>997.51</v>
          </cell>
          <cell r="H401">
            <v>997.51</v>
          </cell>
          <cell r="I401">
            <v>997.51</v>
          </cell>
          <cell r="J401">
            <v>997.51</v>
          </cell>
          <cell r="L401">
            <v>4500</v>
          </cell>
          <cell r="M401">
            <v>4500</v>
          </cell>
        </row>
        <row r="402">
          <cell r="B402">
            <v>4882.3</v>
          </cell>
          <cell r="C402">
            <v>4882.3</v>
          </cell>
          <cell r="D402">
            <v>4882.3</v>
          </cell>
          <cell r="E402">
            <v>4882.3</v>
          </cell>
          <cell r="G402">
            <v>4882.3</v>
          </cell>
          <cell r="H402">
            <v>4882.3</v>
          </cell>
          <cell r="I402">
            <v>4882.3</v>
          </cell>
          <cell r="J402">
            <v>4882.3</v>
          </cell>
          <cell r="L402">
            <v>22000</v>
          </cell>
          <cell r="M402">
            <v>22000</v>
          </cell>
        </row>
        <row r="403">
          <cell r="B403">
            <v>2500</v>
          </cell>
          <cell r="C403">
            <v>2500</v>
          </cell>
          <cell r="D403">
            <v>2500</v>
          </cell>
          <cell r="E403">
            <v>2500</v>
          </cell>
          <cell r="G403">
            <v>4000</v>
          </cell>
          <cell r="H403">
            <v>4000</v>
          </cell>
          <cell r="I403">
            <v>4000</v>
          </cell>
          <cell r="J403">
            <v>4000</v>
          </cell>
          <cell r="L403">
            <v>5000</v>
          </cell>
          <cell r="M403">
            <v>5000</v>
          </cell>
        </row>
        <row r="404">
          <cell r="B404">
            <v>6000</v>
          </cell>
          <cell r="C404">
            <v>6000</v>
          </cell>
          <cell r="D404">
            <v>6000</v>
          </cell>
          <cell r="E404">
            <v>6000</v>
          </cell>
          <cell r="G404">
            <v>6000</v>
          </cell>
          <cell r="H404">
            <v>6000</v>
          </cell>
          <cell r="I404">
            <v>6000</v>
          </cell>
          <cell r="J404">
            <v>6000</v>
          </cell>
          <cell r="L404">
            <v>25000</v>
          </cell>
          <cell r="M404">
            <v>25000</v>
          </cell>
        </row>
        <row r="405">
          <cell r="B405">
            <v>18900</v>
          </cell>
          <cell r="C405">
            <v>18900</v>
          </cell>
          <cell r="D405">
            <v>18900</v>
          </cell>
          <cell r="E405">
            <v>18900</v>
          </cell>
          <cell r="G405">
            <v>45000</v>
          </cell>
          <cell r="H405">
            <v>45000</v>
          </cell>
          <cell r="I405">
            <v>45000</v>
          </cell>
          <cell r="J405">
            <v>45000</v>
          </cell>
          <cell r="L405">
            <v>190000</v>
          </cell>
          <cell r="M405">
            <v>200000</v>
          </cell>
        </row>
        <row r="406">
          <cell r="B406">
            <v>1000</v>
          </cell>
          <cell r="C406">
            <v>1000</v>
          </cell>
          <cell r="D406">
            <v>1000</v>
          </cell>
          <cell r="E406">
            <v>1000</v>
          </cell>
          <cell r="G406">
            <v>2000</v>
          </cell>
          <cell r="H406">
            <v>2000</v>
          </cell>
          <cell r="I406">
            <v>2000</v>
          </cell>
          <cell r="J406">
            <v>2000</v>
          </cell>
          <cell r="L406">
            <v>12000</v>
          </cell>
          <cell r="M406">
            <v>18000</v>
          </cell>
        </row>
        <row r="407">
          <cell r="B407">
            <v>40000</v>
          </cell>
          <cell r="C407">
            <v>40000</v>
          </cell>
          <cell r="D407">
            <v>40000</v>
          </cell>
          <cell r="E407">
            <v>40000</v>
          </cell>
          <cell r="G407">
            <v>60000</v>
          </cell>
          <cell r="H407">
            <v>60000</v>
          </cell>
          <cell r="I407">
            <v>60000</v>
          </cell>
          <cell r="J407">
            <v>60000</v>
          </cell>
          <cell r="L407">
            <v>300000</v>
          </cell>
          <cell r="M407">
            <v>400000</v>
          </cell>
        </row>
        <row r="408">
          <cell r="D408">
            <v>25000</v>
          </cell>
        </row>
        <row r="434">
          <cell r="B434">
            <v>-9999999</v>
          </cell>
          <cell r="C434">
            <v>0</v>
          </cell>
        </row>
        <row r="435">
          <cell r="B435">
            <v>50000</v>
          </cell>
          <cell r="C435">
            <v>0.4</v>
          </cell>
        </row>
        <row r="436">
          <cell r="B436" t="str">
            <v> </v>
          </cell>
          <cell r="C436" t="str">
            <v> </v>
          </cell>
        </row>
        <row r="437">
          <cell r="B437" t="str">
            <v> </v>
          </cell>
          <cell r="C437" t="str">
            <v> </v>
          </cell>
        </row>
        <row r="438">
          <cell r="B438" t="str">
            <v> </v>
          </cell>
          <cell r="C438" t="str">
            <v> </v>
          </cell>
        </row>
      </sheetData>
      <sheetData sheetId="3">
        <row r="6">
          <cell r="B6">
            <v>847500</v>
          </cell>
          <cell r="C6">
            <v>847500</v>
          </cell>
          <cell r="D6">
            <v>847500</v>
          </cell>
          <cell r="E6">
            <v>847500</v>
          </cell>
          <cell r="H6">
            <v>1942500</v>
          </cell>
          <cell r="I6">
            <v>1942500</v>
          </cell>
          <cell r="J6">
            <v>1942500</v>
          </cell>
          <cell r="K6">
            <v>1942500</v>
          </cell>
          <cell r="L6">
            <v>7770000</v>
          </cell>
        </row>
        <row r="7">
          <cell r="B7">
            <v>54000</v>
          </cell>
          <cell r="C7">
            <v>54000</v>
          </cell>
          <cell r="D7">
            <v>54000</v>
          </cell>
          <cell r="E7">
            <v>54000</v>
          </cell>
          <cell r="H7">
            <v>180000</v>
          </cell>
          <cell r="I7">
            <v>180000</v>
          </cell>
          <cell r="J7">
            <v>180000</v>
          </cell>
          <cell r="K7">
            <v>180000</v>
          </cell>
        </row>
        <row r="10">
          <cell r="B10">
            <v>750000</v>
          </cell>
          <cell r="C10">
            <v>750000</v>
          </cell>
          <cell r="D10">
            <v>750000</v>
          </cell>
          <cell r="E10">
            <v>750000</v>
          </cell>
          <cell r="H10">
            <v>1125000</v>
          </cell>
          <cell r="I10">
            <v>1125000</v>
          </cell>
          <cell r="J10">
            <v>1125000</v>
          </cell>
          <cell r="K10">
            <v>1125000</v>
          </cell>
        </row>
        <row r="17">
          <cell r="L17">
            <v>720000</v>
          </cell>
        </row>
      </sheetData>
      <sheetData sheetId="4">
        <row r="6">
          <cell r="H6">
            <v>16980000</v>
          </cell>
          <cell r="J6">
            <v>48100000</v>
          </cell>
        </row>
        <row r="15">
          <cell r="H15">
            <v>2160000</v>
          </cell>
          <cell r="J15">
            <v>5040000</v>
          </cell>
        </row>
      </sheetData>
      <sheetData sheetId="5">
        <row r="4">
          <cell r="N4" t="str">
            <v>Year 1</v>
          </cell>
        </row>
        <row r="5">
          <cell r="A5" t="str">
            <v>E-commerce Revenues</v>
          </cell>
          <cell r="N5">
            <v>1230000</v>
          </cell>
        </row>
        <row r="6">
          <cell r="A6" t="str">
            <v>Advertising Sales Revenues</v>
          </cell>
          <cell r="N6">
            <v>72000</v>
          </cell>
        </row>
        <row r="7">
          <cell r="A7" t="str">
            <v>Membership List Sales Revenues</v>
          </cell>
          <cell r="N7">
            <v>14004</v>
          </cell>
        </row>
        <row r="8">
          <cell r="A8" t="str">
            <v>Publication Revenues</v>
          </cell>
        </row>
        <row r="9">
          <cell r="A9" t="str">
            <v>TV Program Production Revenues</v>
          </cell>
          <cell r="N9">
            <v>1500000</v>
          </cell>
        </row>
        <row r="10">
          <cell r="A10" t="str">
            <v>Total Sales</v>
          </cell>
        </row>
        <row r="14">
          <cell r="A14" t="str">
            <v>e-Commerce Cost of Sales</v>
          </cell>
          <cell r="N14">
            <v>336000</v>
          </cell>
        </row>
        <row r="15">
          <cell r="A15" t="str">
            <v>Production Cost of Sales</v>
          </cell>
          <cell r="N15">
            <v>150000</v>
          </cell>
        </row>
        <row r="21">
          <cell r="K21">
            <v>250000</v>
          </cell>
          <cell r="L21">
            <v>250000</v>
          </cell>
          <cell r="M21">
            <v>250000</v>
          </cell>
          <cell r="N21">
            <v>3000000</v>
          </cell>
        </row>
        <row r="22">
          <cell r="B22">
            <v>250000</v>
          </cell>
          <cell r="C22">
            <v>250000</v>
          </cell>
          <cell r="D22">
            <v>250000</v>
          </cell>
          <cell r="E22">
            <v>250000</v>
          </cell>
          <cell r="F22">
            <v>250000</v>
          </cell>
          <cell r="G22">
            <v>250000</v>
          </cell>
          <cell r="H22">
            <v>250000</v>
          </cell>
          <cell r="I22">
            <v>250000</v>
          </cell>
          <cell r="J22">
            <v>250000</v>
          </cell>
          <cell r="K22">
            <v>250000</v>
          </cell>
          <cell r="L22">
            <v>250000</v>
          </cell>
          <cell r="M22">
            <v>250000</v>
          </cell>
          <cell r="N22">
            <v>3000000</v>
          </cell>
        </row>
        <row r="23">
          <cell r="N23">
            <v>0.43808385625942975</v>
          </cell>
        </row>
        <row r="29">
          <cell r="N29">
            <v>1390000</v>
          </cell>
        </row>
        <row r="30">
          <cell r="N30">
            <v>277999.99999999994</v>
          </cell>
        </row>
        <row r="31">
          <cell r="N31">
            <v>277999.99999999994</v>
          </cell>
        </row>
        <row r="32">
          <cell r="N32">
            <v>84000</v>
          </cell>
        </row>
        <row r="33">
          <cell r="N33">
            <v>99999.99999999999</v>
          </cell>
        </row>
        <row r="34">
          <cell r="N34">
            <v>120000</v>
          </cell>
        </row>
        <row r="35">
          <cell r="N35">
            <v>3990.039999999999</v>
          </cell>
        </row>
        <row r="36">
          <cell r="N36">
            <v>19529.200000000004</v>
          </cell>
        </row>
        <row r="37">
          <cell r="N37">
            <v>9000</v>
          </cell>
        </row>
        <row r="38">
          <cell r="N38">
            <v>24000</v>
          </cell>
        </row>
        <row r="39">
          <cell r="N39">
            <v>72000</v>
          </cell>
        </row>
        <row r="40">
          <cell r="N40">
            <v>12000</v>
          </cell>
        </row>
        <row r="41">
          <cell r="N41">
            <v>120000</v>
          </cell>
        </row>
        <row r="42">
          <cell r="N42">
            <v>99999.99999999999</v>
          </cell>
        </row>
        <row r="43">
          <cell r="C43">
            <v>217543.27</v>
          </cell>
          <cell r="D43">
            <v>217543.27</v>
          </cell>
          <cell r="E43">
            <v>217543.27</v>
          </cell>
          <cell r="F43">
            <v>217543.27</v>
          </cell>
          <cell r="G43">
            <v>217543.27</v>
          </cell>
          <cell r="H43">
            <v>217543.27</v>
          </cell>
          <cell r="I43">
            <v>217543.27</v>
          </cell>
          <cell r="J43">
            <v>217543.27</v>
          </cell>
          <cell r="K43">
            <v>217543.27</v>
          </cell>
          <cell r="L43">
            <v>217543.27</v>
          </cell>
          <cell r="M43">
            <v>217543.27</v>
          </cell>
        </row>
        <row r="44">
          <cell r="N44">
            <v>0.3812087784995452</v>
          </cell>
        </row>
        <row r="47">
          <cell r="A47" t="str">
            <v>Income before Taxes</v>
          </cell>
        </row>
        <row r="48">
          <cell r="A48" t="str">
            <v>Taxes on Income</v>
          </cell>
        </row>
        <row r="50">
          <cell r="A50" t="str">
            <v>Net Income After Taxes </v>
          </cell>
        </row>
        <row r="51">
          <cell r="A51" t="str">
            <v>   % of Total Sales</v>
          </cell>
          <cell r="N51">
            <v>-0.2068508195964839</v>
          </cell>
        </row>
      </sheetData>
      <sheetData sheetId="6">
        <row r="5">
          <cell r="F5" t="str">
            <v>Year 2</v>
          </cell>
          <cell r="L5" t="str">
            <v>Year 3</v>
          </cell>
        </row>
        <row r="6">
          <cell r="B6">
            <v>847500</v>
          </cell>
          <cell r="C6">
            <v>847500</v>
          </cell>
          <cell r="D6">
            <v>847500</v>
          </cell>
          <cell r="E6">
            <v>847500</v>
          </cell>
          <cell r="F6">
            <v>3390000</v>
          </cell>
          <cell r="H6">
            <v>1942500</v>
          </cell>
          <cell r="I6">
            <v>1942500</v>
          </cell>
          <cell r="J6">
            <v>1942500</v>
          </cell>
          <cell r="K6">
            <v>1942500</v>
          </cell>
          <cell r="L6">
            <v>7770000</v>
          </cell>
        </row>
        <row r="7">
          <cell r="B7">
            <v>54000</v>
          </cell>
          <cell r="C7">
            <v>54000</v>
          </cell>
          <cell r="D7">
            <v>54000</v>
          </cell>
          <cell r="E7">
            <v>54000</v>
          </cell>
          <cell r="F7">
            <v>216000</v>
          </cell>
          <cell r="H7">
            <v>180000</v>
          </cell>
          <cell r="I7">
            <v>180000</v>
          </cell>
          <cell r="J7">
            <v>180000</v>
          </cell>
          <cell r="K7">
            <v>180000</v>
          </cell>
          <cell r="L7">
            <v>720000</v>
          </cell>
        </row>
        <row r="10">
          <cell r="B10">
            <v>750000</v>
          </cell>
          <cell r="C10">
            <v>750000</v>
          </cell>
          <cell r="D10">
            <v>750000</v>
          </cell>
          <cell r="E10">
            <v>750000</v>
          </cell>
          <cell r="F10">
            <v>3000000</v>
          </cell>
          <cell r="H10">
            <v>1125000</v>
          </cell>
          <cell r="I10">
            <v>1125000</v>
          </cell>
          <cell r="J10">
            <v>1125000</v>
          </cell>
          <cell r="K10">
            <v>1125000</v>
          </cell>
          <cell r="L10">
            <v>4500000</v>
          </cell>
        </row>
        <row r="14">
          <cell r="F14">
            <v>1007999.9999999999</v>
          </cell>
          <cell r="L14">
            <v>1708000</v>
          </cell>
        </row>
        <row r="15">
          <cell r="F15">
            <v>150000</v>
          </cell>
          <cell r="L15">
            <v>150000</v>
          </cell>
        </row>
        <row r="16">
          <cell r="F16">
            <v>2936000</v>
          </cell>
          <cell r="L16">
            <v>3858400</v>
          </cell>
        </row>
        <row r="21">
          <cell r="F21">
            <v>5000000</v>
          </cell>
          <cell r="H21">
            <v>2500000</v>
          </cell>
          <cell r="I21">
            <v>2500000</v>
          </cell>
          <cell r="J21">
            <v>2500000</v>
          </cell>
          <cell r="K21">
            <v>2500000</v>
          </cell>
          <cell r="L21">
            <v>10000000</v>
          </cell>
        </row>
        <row r="22">
          <cell r="B22">
            <v>1250000</v>
          </cell>
          <cell r="C22">
            <v>1250000</v>
          </cell>
          <cell r="D22">
            <v>1250000</v>
          </cell>
          <cell r="E22">
            <v>1250000</v>
          </cell>
          <cell r="F22">
            <v>5000000</v>
          </cell>
          <cell r="H22">
            <v>2500000</v>
          </cell>
          <cell r="I22">
            <v>2500000</v>
          </cell>
          <cell r="J22">
            <v>2500000</v>
          </cell>
          <cell r="K22">
            <v>2500000</v>
          </cell>
          <cell r="L22">
            <v>10000000</v>
          </cell>
        </row>
        <row r="23">
          <cell r="F23">
            <v>0.28735632183908044</v>
          </cell>
          <cell r="L23">
            <v>0.31344032096288865</v>
          </cell>
        </row>
        <row r="27">
          <cell r="F27">
            <v>1660000</v>
          </cell>
          <cell r="L27">
            <v>2545000</v>
          </cell>
        </row>
        <row r="28">
          <cell r="F28">
            <v>332000</v>
          </cell>
          <cell r="L28">
            <v>509000</v>
          </cell>
        </row>
        <row r="29">
          <cell r="F29">
            <v>332000</v>
          </cell>
          <cell r="L29">
            <v>509000</v>
          </cell>
        </row>
        <row r="30">
          <cell r="F30">
            <v>84000</v>
          </cell>
          <cell r="L30">
            <v>84000</v>
          </cell>
        </row>
        <row r="31">
          <cell r="F31">
            <v>250000</v>
          </cell>
          <cell r="L31">
            <v>500000</v>
          </cell>
        </row>
        <row r="32">
          <cell r="F32">
            <v>160000</v>
          </cell>
          <cell r="L32">
            <v>200000</v>
          </cell>
        </row>
        <row r="33">
          <cell r="F33">
            <v>3990.04</v>
          </cell>
          <cell r="L33">
            <v>3990.04</v>
          </cell>
        </row>
        <row r="34">
          <cell r="F34">
            <v>19529.2</v>
          </cell>
          <cell r="L34">
            <v>19529.2</v>
          </cell>
        </row>
        <row r="35">
          <cell r="F35">
            <v>10000</v>
          </cell>
          <cell r="L35">
            <v>16000</v>
          </cell>
        </row>
        <row r="36">
          <cell r="F36">
            <v>24000</v>
          </cell>
          <cell r="L36">
            <v>24000</v>
          </cell>
        </row>
        <row r="37">
          <cell r="F37">
            <v>75600</v>
          </cell>
          <cell r="L37">
            <v>180000</v>
          </cell>
        </row>
        <row r="38">
          <cell r="F38">
            <v>4000</v>
          </cell>
          <cell r="L38">
            <v>8000</v>
          </cell>
        </row>
        <row r="39">
          <cell r="F39">
            <v>160000</v>
          </cell>
          <cell r="L39">
            <v>240000</v>
          </cell>
        </row>
        <row r="41">
          <cell r="B41">
            <v>803779.81</v>
          </cell>
          <cell r="C41">
            <v>803779.81</v>
          </cell>
          <cell r="D41">
            <v>803779.81</v>
          </cell>
        </row>
        <row r="42">
          <cell r="F42">
            <v>0.19770800229885058</v>
          </cell>
          <cell r="L42">
            <v>0.17673392803410232</v>
          </cell>
        </row>
        <row r="49">
          <cell r="F49">
            <v>0.1677890091954023</v>
          </cell>
          <cell r="L49">
            <v>0.18185789926028081</v>
          </cell>
        </row>
      </sheetData>
      <sheetData sheetId="7">
        <row r="5">
          <cell r="H5">
            <v>16980000</v>
          </cell>
          <cell r="J5">
            <v>48100000</v>
          </cell>
        </row>
        <row r="6">
          <cell r="H6">
            <v>2160000</v>
          </cell>
          <cell r="J6">
            <v>5040000</v>
          </cell>
        </row>
        <row r="9">
          <cell r="H9">
            <v>4500000</v>
          </cell>
          <cell r="J9">
            <v>4500000</v>
          </cell>
        </row>
        <row r="21">
          <cell r="H21">
            <v>20000000</v>
          </cell>
          <cell r="J21">
            <v>30000000</v>
          </cell>
        </row>
      </sheetData>
      <sheetData sheetId="9">
        <row r="13">
          <cell r="F13">
            <v>4094000</v>
          </cell>
          <cell r="L13">
            <v>5716400</v>
          </cell>
        </row>
        <row r="15">
          <cell r="A15" t="str">
            <v>Sales &amp; Marketing Costs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F23" sqref="F23"/>
    </sheetView>
  </sheetViews>
  <sheetFormatPr defaultColWidth="9.140625" defaultRowHeight="12.75"/>
  <cols>
    <col min="1" max="1" width="28.00390625" style="3" bestFit="1" customWidth="1"/>
    <col min="2" max="6" width="12.7109375" style="3" bestFit="1" customWidth="1"/>
    <col min="7" max="16384" width="9.140625" style="3" customWidth="1"/>
  </cols>
  <sheetData>
    <row r="1" spans="1:3" s="1" customFormat="1" ht="26.25">
      <c r="A1" s="1" t="s">
        <v>0</v>
      </c>
      <c r="C1" s="2" t="s">
        <v>1</v>
      </c>
    </row>
    <row r="3" spans="1:6" ht="18.75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5" spans="1:6" s="6" customFormat="1" ht="15.75">
      <c r="A5" s="6" t="s">
        <v>8</v>
      </c>
      <c r="B5" s="7">
        <v>150000</v>
      </c>
      <c r="C5" s="7">
        <v>150000</v>
      </c>
      <c r="D5" s="7">
        <v>200000</v>
      </c>
      <c r="E5" s="7">
        <v>200000</v>
      </c>
      <c r="F5" s="7">
        <v>250000</v>
      </c>
    </row>
    <row r="6" spans="1:6" s="6" customFormat="1" ht="15.75">
      <c r="A6" s="6" t="s">
        <v>9</v>
      </c>
      <c r="B6" s="7">
        <v>80000</v>
      </c>
      <c r="C6" s="7">
        <v>100000</v>
      </c>
      <c r="D6" s="7">
        <v>120000</v>
      </c>
      <c r="E6" s="7">
        <v>140000</v>
      </c>
      <c r="F6" s="7">
        <v>160000</v>
      </c>
    </row>
    <row r="7" spans="1:6" s="6" customFormat="1" ht="15.75">
      <c r="A7" s="6" t="s">
        <v>10</v>
      </c>
      <c r="B7" s="7">
        <v>100000</v>
      </c>
      <c r="C7" s="7">
        <v>110000</v>
      </c>
      <c r="D7" s="7">
        <v>125000</v>
      </c>
      <c r="E7" s="7">
        <v>150000</v>
      </c>
      <c r="F7" s="7">
        <v>150000</v>
      </c>
    </row>
    <row r="8" spans="1:6" s="6" customFormat="1" ht="15.75">
      <c r="A8" s="6" t="s">
        <v>11</v>
      </c>
      <c r="B8" s="7">
        <v>100000</v>
      </c>
      <c r="C8" s="7">
        <v>110000</v>
      </c>
      <c r="D8" s="7">
        <v>125000</v>
      </c>
      <c r="E8" s="7">
        <v>125000</v>
      </c>
      <c r="F8" s="7">
        <v>125000</v>
      </c>
    </row>
    <row r="9" spans="1:6" s="6" customFormat="1" ht="15.75">
      <c r="A9" s="6" t="s">
        <v>12</v>
      </c>
      <c r="B9" s="7">
        <v>100000</v>
      </c>
      <c r="C9" s="7">
        <v>110000</v>
      </c>
      <c r="D9" s="7">
        <v>125000</v>
      </c>
      <c r="E9" s="7">
        <v>125000</v>
      </c>
      <c r="F9" s="7">
        <v>125000</v>
      </c>
    </row>
    <row r="10" spans="1:6" s="6" customFormat="1" ht="15.75">
      <c r="A10" s="6" t="s">
        <v>13</v>
      </c>
      <c r="B10" s="7">
        <v>80000</v>
      </c>
      <c r="C10" s="7">
        <v>90000</v>
      </c>
      <c r="D10" s="7">
        <v>100000</v>
      </c>
      <c r="E10" s="7">
        <v>100000</v>
      </c>
      <c r="F10" s="7">
        <v>100000</v>
      </c>
    </row>
    <row r="11" spans="1:6" s="6" customFormat="1" ht="15.75">
      <c r="A11" s="6" t="s">
        <v>14</v>
      </c>
      <c r="B11" s="7">
        <v>200000</v>
      </c>
      <c r="C11" s="7">
        <v>280000</v>
      </c>
      <c r="D11" s="7">
        <v>500000</v>
      </c>
      <c r="E11" s="7">
        <v>800000</v>
      </c>
      <c r="F11" s="7">
        <v>1200000</v>
      </c>
    </row>
    <row r="12" spans="1:6" s="6" customFormat="1" ht="15.75">
      <c r="A12" s="6" t="s">
        <v>15</v>
      </c>
      <c r="B12" s="7">
        <v>80000</v>
      </c>
      <c r="C12" s="7">
        <v>100000</v>
      </c>
      <c r="D12" s="7">
        <v>120000</v>
      </c>
      <c r="E12" s="7">
        <v>140000</v>
      </c>
      <c r="F12" s="7">
        <v>160000</v>
      </c>
    </row>
    <row r="13" spans="1:6" s="6" customFormat="1" ht="15.75">
      <c r="A13" s="6" t="s">
        <v>16</v>
      </c>
      <c r="B13" s="7">
        <v>80000</v>
      </c>
      <c r="C13" s="7">
        <v>100000</v>
      </c>
      <c r="D13" s="7">
        <v>200000</v>
      </c>
      <c r="E13" s="7">
        <v>350000</v>
      </c>
      <c r="F13" s="7">
        <v>500000</v>
      </c>
    </row>
    <row r="14" spans="1:6" s="6" customFormat="1" ht="15.75">
      <c r="A14" s="6" t="s">
        <v>17</v>
      </c>
      <c r="B14" s="7">
        <v>60000</v>
      </c>
      <c r="C14" s="7">
        <v>60000</v>
      </c>
      <c r="D14" s="7">
        <v>60000</v>
      </c>
      <c r="E14" s="7">
        <v>60000</v>
      </c>
      <c r="F14" s="7">
        <v>60000</v>
      </c>
    </row>
    <row r="15" spans="1:6" s="6" customFormat="1" ht="15.75">
      <c r="A15" s="6" t="s">
        <v>18</v>
      </c>
      <c r="B15" s="7">
        <v>60000</v>
      </c>
      <c r="C15" s="7">
        <v>60000</v>
      </c>
      <c r="D15" s="7">
        <v>120000</v>
      </c>
      <c r="E15" s="7">
        <v>200000</v>
      </c>
      <c r="F15" s="7">
        <v>300000</v>
      </c>
    </row>
    <row r="16" spans="1:6" s="6" customFormat="1" ht="15.75">
      <c r="A16" s="6" t="s">
        <v>19</v>
      </c>
      <c r="B16" s="7">
        <v>200000</v>
      </c>
      <c r="C16" s="7">
        <v>240000</v>
      </c>
      <c r="D16" s="7">
        <v>500000</v>
      </c>
      <c r="E16" s="7">
        <v>800000</v>
      </c>
      <c r="F16" s="7">
        <v>1200000</v>
      </c>
    </row>
    <row r="17" spans="1:6" s="6" customFormat="1" ht="15.75">
      <c r="A17" s="6" t="s">
        <v>20</v>
      </c>
      <c r="B17" s="7">
        <v>100000</v>
      </c>
      <c r="C17" s="7">
        <v>150000</v>
      </c>
      <c r="D17" s="7">
        <v>250000</v>
      </c>
      <c r="E17" s="7">
        <v>350000</v>
      </c>
      <c r="F17" s="7">
        <v>400000</v>
      </c>
    </row>
    <row r="18" spans="1:6" s="6" customFormat="1" ht="15.75">
      <c r="A18" s="8" t="s">
        <v>21</v>
      </c>
      <c r="B18" s="9">
        <f>SUM(B5:B17)</f>
        <v>1390000</v>
      </c>
      <c r="C18" s="9">
        <f>SUM(C5:C17)</f>
        <v>1660000</v>
      </c>
      <c r="D18" s="9">
        <f>SUM(D5:D17)</f>
        <v>2545000</v>
      </c>
      <c r="E18" s="9">
        <f>SUM(E5:E17)</f>
        <v>3540000</v>
      </c>
      <c r="F18" s="9">
        <f>SUM(F5:F17)</f>
        <v>4730000</v>
      </c>
    </row>
  </sheetData>
  <printOptions/>
  <pageMargins left="0.75" right="0.75" top="1" bottom="1" header="0.5" footer="0.5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tabSelected="1" workbookViewId="0" topLeftCell="A28">
      <selection activeCell="H17" sqref="H17"/>
    </sheetView>
  </sheetViews>
  <sheetFormatPr defaultColWidth="11.140625" defaultRowHeight="12.75"/>
  <cols>
    <col min="1" max="1" width="31.28125" style="12" customWidth="1"/>
    <col min="2" max="12" width="11.140625" style="12" customWidth="1"/>
    <col min="13" max="13" width="13.00390625" style="12" customWidth="1"/>
    <col min="14" max="14" width="14.57421875" style="12" customWidth="1"/>
    <col min="15" max="15" width="16.8515625" style="13" customWidth="1"/>
    <col min="16" max="16384" width="11.140625" style="12" customWidth="1"/>
  </cols>
  <sheetData>
    <row r="1" spans="1:6" ht="22.5" customHeight="1">
      <c r="A1" s="10" t="s">
        <v>22</v>
      </c>
      <c r="B1" s="11" t="s">
        <v>23</v>
      </c>
      <c r="F1" s="2" t="s">
        <v>1</v>
      </c>
    </row>
    <row r="2" spans="1:15" ht="13.5" customHeight="1">
      <c r="A2" s="14">
        <v>37622</v>
      </c>
      <c r="N2" s="15"/>
      <c r="O2" s="16" t="s">
        <v>24</v>
      </c>
    </row>
    <row r="3" spans="1:15" ht="13.5" customHeight="1">
      <c r="A3" s="14"/>
      <c r="N3" s="15"/>
      <c r="O3" s="16"/>
    </row>
    <row r="4" spans="1:15" ht="15.75" customHeight="1">
      <c r="A4" s="17" t="s">
        <v>25</v>
      </c>
      <c r="B4" s="18">
        <v>37622</v>
      </c>
      <c r="C4" s="18">
        <v>37655</v>
      </c>
      <c r="D4" s="18">
        <v>37684</v>
      </c>
      <c r="E4" s="18">
        <v>37716</v>
      </c>
      <c r="F4" s="18">
        <v>37747</v>
      </c>
      <c r="G4" s="18">
        <v>37779</v>
      </c>
      <c r="H4" s="18">
        <v>37810</v>
      </c>
      <c r="I4" s="18">
        <v>37842</v>
      </c>
      <c r="J4" s="18">
        <v>37874</v>
      </c>
      <c r="K4" s="18">
        <v>37905</v>
      </c>
      <c r="L4" s="18">
        <v>37937</v>
      </c>
      <c r="M4" s="18">
        <v>37968</v>
      </c>
      <c r="N4" s="19" t="str">
        <f>+'[1]Assumptions'!N59</f>
        <v>Year 1</v>
      </c>
      <c r="O4" s="20" t="s">
        <v>25</v>
      </c>
    </row>
    <row r="5" spans="1:15" ht="15.75" customHeight="1">
      <c r="A5" s="21" t="str">
        <f>'[1]Assumptions'!$A21</f>
        <v>E-commerce Revenues</v>
      </c>
      <c r="B5" s="22">
        <v>6150</v>
      </c>
      <c r="C5" s="22">
        <v>12300</v>
      </c>
      <c r="D5" s="22">
        <v>18450</v>
      </c>
      <c r="E5" s="22">
        <v>30750</v>
      </c>
      <c r="F5" s="22">
        <v>49200</v>
      </c>
      <c r="G5" s="22">
        <v>73800</v>
      </c>
      <c r="H5" s="22">
        <v>98400</v>
      </c>
      <c r="I5" s="22">
        <v>123000</v>
      </c>
      <c r="J5" s="22">
        <v>159900</v>
      </c>
      <c r="K5" s="22">
        <v>190650</v>
      </c>
      <c r="L5" s="22">
        <v>221400</v>
      </c>
      <c r="M5" s="22">
        <v>246000</v>
      </c>
      <c r="N5" s="23">
        <f aca="true" t="shared" si="0" ref="N5:N11">SUM(B5:M5)</f>
        <v>1230000</v>
      </c>
      <c r="O5" s="24">
        <f aca="true" t="shared" si="1" ref="O5:O11">IF(N$11=0,0,+N5/N$11)</f>
        <v>0.2841959334565619</v>
      </c>
    </row>
    <row r="6" spans="1:15" ht="15.75" customHeight="1">
      <c r="A6" s="21" t="str">
        <f>'[1]Assumptions'!$A22</f>
        <v>Advertising Sales Revenues</v>
      </c>
      <c r="B6" s="22">
        <v>360</v>
      </c>
      <c r="C6" s="22">
        <v>720</v>
      </c>
      <c r="D6" s="22">
        <v>1080</v>
      </c>
      <c r="E6" s="22">
        <v>1800</v>
      </c>
      <c r="F6" s="22">
        <v>2880</v>
      </c>
      <c r="G6" s="22">
        <v>4320</v>
      </c>
      <c r="H6" s="22">
        <v>5760</v>
      </c>
      <c r="I6" s="22">
        <v>7200</v>
      </c>
      <c r="J6" s="22">
        <v>9360</v>
      </c>
      <c r="K6" s="22">
        <v>11160</v>
      </c>
      <c r="L6" s="22">
        <v>12960</v>
      </c>
      <c r="M6" s="22">
        <v>14400</v>
      </c>
      <c r="N6" s="23">
        <f t="shared" si="0"/>
        <v>72000</v>
      </c>
      <c r="O6" s="24">
        <f t="shared" si="1"/>
        <v>0.0166358595194085</v>
      </c>
    </row>
    <row r="7" spans="1:15" ht="15.75" customHeight="1">
      <c r="A7" s="21" t="str">
        <f>'[1]Assumptions'!$A23</f>
        <v>Membership List Sales Revenues</v>
      </c>
      <c r="B7" s="22">
        <v>70</v>
      </c>
      <c r="C7" s="22">
        <v>140</v>
      </c>
      <c r="D7" s="22">
        <v>210</v>
      </c>
      <c r="E7" s="22">
        <v>350</v>
      </c>
      <c r="F7" s="22">
        <v>560</v>
      </c>
      <c r="G7" s="22">
        <v>840</v>
      </c>
      <c r="H7" s="22">
        <v>1120</v>
      </c>
      <c r="I7" s="22">
        <v>1400</v>
      </c>
      <c r="J7" s="22">
        <v>1820</v>
      </c>
      <c r="K7" s="22">
        <v>2170</v>
      </c>
      <c r="L7" s="22">
        <v>2520</v>
      </c>
      <c r="M7" s="22">
        <v>2800</v>
      </c>
      <c r="N7" s="23">
        <f t="shared" si="0"/>
        <v>14000</v>
      </c>
      <c r="O7" s="24">
        <f t="shared" si="1"/>
        <v>0.003234750462107209</v>
      </c>
    </row>
    <row r="8" spans="1:15" ht="15.75" customHeight="1">
      <c r="A8" s="21" t="str">
        <f>'[1]Assumptions'!$A24</f>
        <v>Publication Revenues</v>
      </c>
      <c r="B8" s="22"/>
      <c r="C8" s="22"/>
      <c r="D8" s="22"/>
      <c r="E8" s="22"/>
      <c r="F8" s="22"/>
      <c r="G8" s="22"/>
      <c r="H8" s="22">
        <v>75600</v>
      </c>
      <c r="I8" s="22">
        <v>120960</v>
      </c>
      <c r="J8" s="22">
        <v>196560</v>
      </c>
      <c r="K8" s="22">
        <v>272160</v>
      </c>
      <c r="L8" s="22">
        <v>378000</v>
      </c>
      <c r="M8" s="22">
        <v>468720</v>
      </c>
      <c r="N8" s="23">
        <f t="shared" si="0"/>
        <v>1512000</v>
      </c>
      <c r="O8" s="24">
        <f t="shared" si="1"/>
        <v>0.34935304990757854</v>
      </c>
    </row>
    <row r="9" spans="1:15" ht="15.75" customHeight="1">
      <c r="A9" s="21" t="str">
        <f>'[1]Assumptions'!$A25</f>
        <v>TV Program Production Revenues</v>
      </c>
      <c r="B9" s="22">
        <v>7500</v>
      </c>
      <c r="C9" s="22">
        <v>15000</v>
      </c>
      <c r="D9" s="22">
        <v>22500</v>
      </c>
      <c r="E9" s="22">
        <v>37500</v>
      </c>
      <c r="F9" s="22">
        <v>60000</v>
      </c>
      <c r="G9" s="22">
        <v>90000</v>
      </c>
      <c r="H9" s="22">
        <v>120000</v>
      </c>
      <c r="I9" s="22">
        <v>150000</v>
      </c>
      <c r="J9" s="22">
        <v>195000</v>
      </c>
      <c r="K9" s="22">
        <v>232500</v>
      </c>
      <c r="L9" s="22">
        <v>270000</v>
      </c>
      <c r="M9" s="22">
        <v>300000</v>
      </c>
      <c r="N9" s="23">
        <f t="shared" si="0"/>
        <v>1500000</v>
      </c>
      <c r="O9" s="24">
        <f t="shared" si="1"/>
        <v>0.3465804066543438</v>
      </c>
    </row>
    <row r="10" spans="1:15" ht="15.75" customHeight="1">
      <c r="A10" s="21" t="s">
        <v>53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33"/>
      <c r="N10" s="23">
        <f t="shared" si="0"/>
        <v>0</v>
      </c>
      <c r="O10" s="24">
        <f t="shared" si="1"/>
        <v>0</v>
      </c>
    </row>
    <row r="11" spans="1:15" s="28" customFormat="1" ht="16.5" customHeight="1" thickBot="1">
      <c r="A11" s="25" t="s">
        <v>26</v>
      </c>
      <c r="B11" s="26">
        <f>SUM(B5:B10)</f>
        <v>14080</v>
      </c>
      <c r="C11" s="26">
        <f aca="true" t="shared" si="2" ref="C11:M11">SUM(C5:C10)</f>
        <v>28160</v>
      </c>
      <c r="D11" s="26">
        <f t="shared" si="2"/>
        <v>42240</v>
      </c>
      <c r="E11" s="26">
        <f t="shared" si="2"/>
        <v>70400</v>
      </c>
      <c r="F11" s="26">
        <f t="shared" si="2"/>
        <v>112640</v>
      </c>
      <c r="G11" s="26">
        <f t="shared" si="2"/>
        <v>168960</v>
      </c>
      <c r="H11" s="26">
        <f t="shared" si="2"/>
        <v>300880</v>
      </c>
      <c r="I11" s="26">
        <f t="shared" si="2"/>
        <v>402560</v>
      </c>
      <c r="J11" s="26">
        <f t="shared" si="2"/>
        <v>562640</v>
      </c>
      <c r="K11" s="26">
        <f t="shared" si="2"/>
        <v>708640</v>
      </c>
      <c r="L11" s="26">
        <f t="shared" si="2"/>
        <v>884880</v>
      </c>
      <c r="M11" s="26">
        <f t="shared" si="2"/>
        <v>1031920</v>
      </c>
      <c r="N11" s="134">
        <f t="shared" si="0"/>
        <v>4328000</v>
      </c>
      <c r="O11" s="27">
        <f t="shared" si="1"/>
        <v>1</v>
      </c>
    </row>
    <row r="12" spans="1:15" ht="16.5" customHeight="1" thickTop="1">
      <c r="A12" s="21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3"/>
      <c r="O12" s="24"/>
    </row>
    <row r="13" spans="1:15" ht="15.75" customHeight="1">
      <c r="A13" s="11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3"/>
      <c r="O13" s="24"/>
    </row>
    <row r="14" spans="1:15" ht="15.75" customHeight="1">
      <c r="A14" s="29" t="s">
        <v>27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3"/>
      <c r="O14" s="24"/>
    </row>
    <row r="15" spans="1:15" ht="16.5" customHeight="1">
      <c r="A15" s="30" t="str">
        <f>'[1]Assumptions'!A210</f>
        <v>e-Commerce Cost of Sales</v>
      </c>
      <c r="B15" s="31">
        <f>336000/1230000*B5</f>
        <v>1680.0000000000002</v>
      </c>
      <c r="C15" s="31">
        <f>336000/1230000*C5</f>
        <v>3360.0000000000005</v>
      </c>
      <c r="D15" s="31">
        <f aca="true" t="shared" si="3" ref="D15:M15">336000/1230000*D5</f>
        <v>5040</v>
      </c>
      <c r="E15" s="31">
        <f t="shared" si="3"/>
        <v>8400</v>
      </c>
      <c r="F15" s="31">
        <f t="shared" si="3"/>
        <v>13440.000000000002</v>
      </c>
      <c r="G15" s="31">
        <f t="shared" si="3"/>
        <v>20160</v>
      </c>
      <c r="H15" s="31">
        <f t="shared" si="3"/>
        <v>26880.000000000004</v>
      </c>
      <c r="I15" s="31">
        <f t="shared" si="3"/>
        <v>33600</v>
      </c>
      <c r="J15" s="31">
        <f t="shared" si="3"/>
        <v>43680</v>
      </c>
      <c r="K15" s="31">
        <f t="shared" si="3"/>
        <v>52080.00000000001</v>
      </c>
      <c r="L15" s="31">
        <f t="shared" si="3"/>
        <v>60480.00000000001</v>
      </c>
      <c r="M15" s="31">
        <f t="shared" si="3"/>
        <v>67200</v>
      </c>
      <c r="N15" s="23">
        <f>SUM(B15:M15)</f>
        <v>336000</v>
      </c>
      <c r="O15" s="32">
        <f>O14</f>
        <v>0</v>
      </c>
    </row>
    <row r="16" spans="1:15" ht="16.5" customHeight="1">
      <c r="A16" s="30" t="str">
        <f>'[1]Assumptions'!A211</f>
        <v>Production Cost of Sales</v>
      </c>
      <c r="B16" s="31">
        <f>'[1]Assumptions'!B211</f>
        <v>12500</v>
      </c>
      <c r="C16" s="31">
        <f>'[1]Assumptions'!C211</f>
        <v>12500</v>
      </c>
      <c r="D16" s="31">
        <f>'[1]Assumptions'!D211</f>
        <v>12500</v>
      </c>
      <c r="E16" s="31">
        <f>'[1]Assumptions'!E211</f>
        <v>12500</v>
      </c>
      <c r="F16" s="31">
        <f>'[1]Assumptions'!F211</f>
        <v>12500</v>
      </c>
      <c r="G16" s="31">
        <f>'[1]Assumptions'!G211</f>
        <v>12500</v>
      </c>
      <c r="H16" s="31">
        <f>'[1]Assumptions'!H211</f>
        <v>12500</v>
      </c>
      <c r="I16" s="31">
        <f>'[1]Assumptions'!I211</f>
        <v>12500</v>
      </c>
      <c r="J16" s="31">
        <f>'[1]Assumptions'!J211</f>
        <v>12500</v>
      </c>
      <c r="K16" s="31">
        <f>'[1]Assumptions'!K211</f>
        <v>12500</v>
      </c>
      <c r="L16" s="31">
        <f>'[1]Assumptions'!L211</f>
        <v>12500</v>
      </c>
      <c r="M16" s="33">
        <f>'[1]Assumptions'!M211</f>
        <v>12500</v>
      </c>
      <c r="N16" s="23">
        <f>SUM(B16:M16)</f>
        <v>150000</v>
      </c>
      <c r="O16" s="32"/>
    </row>
    <row r="17" spans="1:15" ht="16.5" customHeight="1" thickBot="1">
      <c r="A17" s="34" t="s">
        <v>55</v>
      </c>
      <c r="B17" s="137"/>
      <c r="C17" s="35" t="s">
        <v>44</v>
      </c>
      <c r="D17" s="35" t="s">
        <v>44</v>
      </c>
      <c r="E17" s="35" t="s">
        <v>44</v>
      </c>
      <c r="F17" s="35" t="s">
        <v>44</v>
      </c>
      <c r="G17" s="35" t="s">
        <v>44</v>
      </c>
      <c r="H17" s="35">
        <f>H8/$N8*540000*0.32+167333</f>
        <v>175973</v>
      </c>
      <c r="I17" s="35">
        <f>I8/$N8*540000*0.32+167333</f>
        <v>181157</v>
      </c>
      <c r="J17" s="35">
        <f>J8/$N8*540000*0.32+167333</f>
        <v>189797</v>
      </c>
      <c r="K17" s="35">
        <f>K8/$N8*540000*0.32+167333</f>
        <v>198437</v>
      </c>
      <c r="L17" s="35">
        <f>L8/$N8*540000*0.32+167333</f>
        <v>210533</v>
      </c>
      <c r="M17" s="35">
        <f>M8/$N8*540000*0.32+167333</f>
        <v>220901</v>
      </c>
      <c r="N17" s="36">
        <f>SUM(C17:M17)</f>
        <v>1176798</v>
      </c>
      <c r="O17" s="37"/>
    </row>
    <row r="18" spans="1:15" ht="16.5" customHeight="1" thickTop="1">
      <c r="A18" s="30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23"/>
      <c r="O18" s="32"/>
    </row>
    <row r="19" spans="1:15" s="28" customFormat="1" ht="16.5" customHeight="1">
      <c r="A19" s="38" t="s">
        <v>26</v>
      </c>
      <c r="B19" s="39">
        <f>SUM(B15:B17)</f>
        <v>14180</v>
      </c>
      <c r="C19" s="39">
        <f aca="true" t="shared" si="4" ref="C19:M19">SUM(C15:C17)</f>
        <v>15860</v>
      </c>
      <c r="D19" s="39">
        <f t="shared" si="4"/>
        <v>17540</v>
      </c>
      <c r="E19" s="39">
        <f t="shared" si="4"/>
        <v>20900</v>
      </c>
      <c r="F19" s="39">
        <f t="shared" si="4"/>
        <v>25940</v>
      </c>
      <c r="G19" s="39">
        <f t="shared" si="4"/>
        <v>32660</v>
      </c>
      <c r="H19" s="39">
        <f>SUM(H15:H17)</f>
        <v>215353</v>
      </c>
      <c r="I19" s="39">
        <f t="shared" si="4"/>
        <v>227257</v>
      </c>
      <c r="J19" s="39">
        <f t="shared" si="4"/>
        <v>245977</v>
      </c>
      <c r="K19" s="39">
        <f t="shared" si="4"/>
        <v>263017</v>
      </c>
      <c r="L19" s="39">
        <f t="shared" si="4"/>
        <v>283513</v>
      </c>
      <c r="M19" s="39">
        <f t="shared" si="4"/>
        <v>300601</v>
      </c>
      <c r="N19" s="40">
        <f>SUM(B19:M19)</f>
        <v>1662798</v>
      </c>
      <c r="O19" s="41"/>
    </row>
    <row r="20" spans="1:15" ht="16.5" customHeight="1">
      <c r="A20" s="42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43"/>
      <c r="O20" s="24"/>
    </row>
    <row r="21" spans="1:15" ht="16.5" customHeight="1">
      <c r="A21" s="42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43"/>
      <c r="O21" s="24"/>
    </row>
    <row r="22" spans="1:15" ht="15.75" customHeight="1">
      <c r="A22" s="29" t="s">
        <v>28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3"/>
      <c r="O22" s="24"/>
    </row>
    <row r="23" spans="1:15" ht="15.75" customHeight="1">
      <c r="A23" s="21" t="s">
        <v>29</v>
      </c>
      <c r="B23" s="22">
        <f>ROUND(IF('[1]Assumptions'!$B236='[1]Assumptions'!$B$15,0,IF('[1]Assumptions'!$B236='[1]Assumptions'!$B$12,'[1]Assumptions'!B267,'[1]Assumptions'!$C236)),0)</f>
        <v>250000</v>
      </c>
      <c r="C23" s="22">
        <f>IF('[1]Assumptions'!$B236='[1]Assumptions'!$B$15,0,IF('[1]Assumptions'!$B236='[1]Assumptions'!$B$12,ROUND('[1]Assumptions'!C267,0),IF('[1]Assumptions'!$B236='[1]Assumptions'!$B$13,IF('[1]Assumptions'!$AA236&lt;=0,'[1]Assumptions'!$AB236,ROUND(B23*'[1]Assumptions'!$AA236,0)),IF('[1]Assumptions'!$B236='[1]Assumptions'!$B$14,ROUND(B23+'[1]Assumptions'!$E236,0),'[1]Assumptions'!$Y236))))</f>
        <v>250000</v>
      </c>
      <c r="D23" s="22">
        <f>IF('[1]Assumptions'!$B236='[1]Assumptions'!$B$15,0,IF('[1]Assumptions'!$B236='[1]Assumptions'!$B$12,ROUND('[1]Assumptions'!D267,0),IF('[1]Assumptions'!$B236='[1]Assumptions'!$B$13,IF('[1]Assumptions'!$AA236&lt;=0,'[1]Assumptions'!$AB236,ROUND(C23*'[1]Assumptions'!$AA236,0)),IF('[1]Assumptions'!$B236='[1]Assumptions'!$B$14,ROUND(C23+'[1]Assumptions'!$E236,0),'[1]Assumptions'!$Y236))))</f>
        <v>250000</v>
      </c>
      <c r="E23" s="22">
        <f>IF('[1]Assumptions'!$B236='[1]Assumptions'!$B$15,0,IF('[1]Assumptions'!$B236='[1]Assumptions'!$B$12,ROUND('[1]Assumptions'!E267,0),IF('[1]Assumptions'!$B236='[1]Assumptions'!$B$13,IF('[1]Assumptions'!$AA236&lt;=0,'[1]Assumptions'!$AB236,ROUND(D23*'[1]Assumptions'!$AA236,0)),IF('[1]Assumptions'!$B236='[1]Assumptions'!$B$14,ROUND(D23+'[1]Assumptions'!$E236,0),'[1]Assumptions'!$Y236))))</f>
        <v>250000</v>
      </c>
      <c r="F23" s="22">
        <f>IF('[1]Assumptions'!$B236='[1]Assumptions'!$B$15,0,IF('[1]Assumptions'!$B236='[1]Assumptions'!$B$12,ROUND('[1]Assumptions'!F267,0),IF('[1]Assumptions'!$B236='[1]Assumptions'!$B$13,IF('[1]Assumptions'!$AA236&lt;=0,'[1]Assumptions'!$AB236,ROUND(E23*'[1]Assumptions'!$AA236,0)),IF('[1]Assumptions'!$B236='[1]Assumptions'!$B$14,ROUND(E23+'[1]Assumptions'!$E236,0),'[1]Assumptions'!$Y236))))</f>
        <v>250000</v>
      </c>
      <c r="G23" s="22">
        <f>IF('[1]Assumptions'!$B236='[1]Assumptions'!$B$15,0,IF('[1]Assumptions'!$B236='[1]Assumptions'!$B$12,ROUND('[1]Assumptions'!G267,0),IF('[1]Assumptions'!$B236='[1]Assumptions'!$B$13,IF('[1]Assumptions'!$AA236&lt;=0,'[1]Assumptions'!$AB236,ROUND(F23*'[1]Assumptions'!$AA236,0)),IF('[1]Assumptions'!$B236='[1]Assumptions'!$B$14,ROUND(F23+'[1]Assumptions'!$E236,0),'[1]Assumptions'!$Y236))))</f>
        <v>250000</v>
      </c>
      <c r="H23" s="22">
        <f>IF('[1]Assumptions'!$B236='[1]Assumptions'!$B$15,0,IF('[1]Assumptions'!$B236='[1]Assumptions'!$B$12,ROUND('[1]Assumptions'!H267,0),IF('[1]Assumptions'!$B236='[1]Assumptions'!$B$13,IF('[1]Assumptions'!$AA236&lt;=0,'[1]Assumptions'!$AB236,ROUND(G23*'[1]Assumptions'!$AA236,0)),IF('[1]Assumptions'!$B236='[1]Assumptions'!$B$14,ROUND(G23+'[1]Assumptions'!$E236,0),'[1]Assumptions'!$Y236))))</f>
        <v>250000</v>
      </c>
      <c r="I23" s="22">
        <f>IF('[1]Assumptions'!$B236='[1]Assumptions'!$B$15,0,IF('[1]Assumptions'!$B236='[1]Assumptions'!$B$12,ROUND('[1]Assumptions'!I267,0),IF('[1]Assumptions'!$B236='[1]Assumptions'!$B$13,IF('[1]Assumptions'!$AA236&lt;=0,'[1]Assumptions'!$AB236,ROUND(H23*'[1]Assumptions'!$AA236,0)),IF('[1]Assumptions'!$B236='[1]Assumptions'!$B$14,ROUND(H23+'[1]Assumptions'!$E236,0),'[1]Assumptions'!$Y236))))</f>
        <v>250000</v>
      </c>
      <c r="J23" s="22">
        <f>IF('[1]Assumptions'!$B236='[1]Assumptions'!$B$15,0,IF('[1]Assumptions'!$B236='[1]Assumptions'!$B$12,ROUND('[1]Assumptions'!J267,0),IF('[1]Assumptions'!$B236='[1]Assumptions'!$B$13,IF('[1]Assumptions'!$AA236&lt;=0,'[1]Assumptions'!$AB236,ROUND(I23*'[1]Assumptions'!$AA236,0)),IF('[1]Assumptions'!$B236='[1]Assumptions'!$B$14,ROUND(I23+'[1]Assumptions'!$E236,0),'[1]Assumptions'!$Y236))))</f>
        <v>250000</v>
      </c>
      <c r="K23" s="22">
        <f>IF('[1]Assumptions'!$B236='[1]Assumptions'!$B$15,0,IF('[1]Assumptions'!$B236='[1]Assumptions'!$B$12,ROUND('[1]Assumptions'!K267,0),IF('[1]Assumptions'!$B236='[1]Assumptions'!$B$13,IF('[1]Assumptions'!$AA236&lt;=0,'[1]Assumptions'!$AB236,ROUND(J23*'[1]Assumptions'!$AA236,0)),IF('[1]Assumptions'!$B236='[1]Assumptions'!$B$14,ROUND(J23+'[1]Assumptions'!$E236,0),'[1]Assumptions'!$Y236))))</f>
        <v>250000</v>
      </c>
      <c r="L23" s="22">
        <f>IF('[1]Assumptions'!$B236='[1]Assumptions'!$B$15,0,IF('[1]Assumptions'!$B236='[1]Assumptions'!$B$12,ROUND('[1]Assumptions'!L267,0),IF('[1]Assumptions'!$B236='[1]Assumptions'!$B$13,IF('[1]Assumptions'!$AA236&lt;=0,'[1]Assumptions'!$AB236,ROUND(K23*'[1]Assumptions'!$AA236,0)),IF('[1]Assumptions'!$B236='[1]Assumptions'!$B$14,ROUND(K23+'[1]Assumptions'!$E236,0),'[1]Assumptions'!$Y236))))</f>
        <v>250000</v>
      </c>
      <c r="M23" s="22">
        <f>IF('[1]Assumptions'!$B236='[1]Assumptions'!$B$15,0,IF('[1]Assumptions'!$B236='[1]Assumptions'!$B$12,ROUND('[1]Assumptions'!M267,0),IF('[1]Assumptions'!$B236='[1]Assumptions'!$B$13,IF('[1]Assumptions'!$AA236&lt;=0,'[1]Assumptions'!$AB236,ROUND(L23*'[1]Assumptions'!$AA236,0)),IF('[1]Assumptions'!$B236='[1]Assumptions'!$B$14,ROUND(L23+'[1]Assumptions'!$E236,0),'[1]Assumptions'!$Y236))))</f>
        <v>250000</v>
      </c>
      <c r="N23" s="23">
        <f>SUM(B23:M23)</f>
        <v>3000000</v>
      </c>
      <c r="O23" s="24">
        <f>IF(N$11=0,0,+N23/N$11)</f>
        <v>0.6931608133086876</v>
      </c>
    </row>
    <row r="24" spans="1:15" ht="16.5" customHeight="1" thickBot="1">
      <c r="A24" s="44" t="s">
        <v>30</v>
      </c>
      <c r="B24" s="45">
        <f aca="true" t="shared" si="5" ref="B24:N24">SUM(B$23:B$23)</f>
        <v>250000</v>
      </c>
      <c r="C24" s="45">
        <f t="shared" si="5"/>
        <v>250000</v>
      </c>
      <c r="D24" s="45">
        <f t="shared" si="5"/>
        <v>250000</v>
      </c>
      <c r="E24" s="45">
        <f t="shared" si="5"/>
        <v>250000</v>
      </c>
      <c r="F24" s="45">
        <f t="shared" si="5"/>
        <v>250000</v>
      </c>
      <c r="G24" s="45">
        <f t="shared" si="5"/>
        <v>250000</v>
      </c>
      <c r="H24" s="45">
        <f t="shared" si="5"/>
        <v>250000</v>
      </c>
      <c r="I24" s="45">
        <f t="shared" si="5"/>
        <v>250000</v>
      </c>
      <c r="J24" s="45">
        <f t="shared" si="5"/>
        <v>250000</v>
      </c>
      <c r="K24" s="45">
        <f t="shared" si="5"/>
        <v>250000</v>
      </c>
      <c r="L24" s="45">
        <f t="shared" si="5"/>
        <v>250000</v>
      </c>
      <c r="M24" s="45">
        <f t="shared" si="5"/>
        <v>250000</v>
      </c>
      <c r="N24" s="46">
        <f t="shared" si="5"/>
        <v>3000000</v>
      </c>
      <c r="O24" s="47">
        <f>IF(N$11=0,0,+N24/N$11)</f>
        <v>0.6931608133086876</v>
      </c>
    </row>
    <row r="25" spans="1:15" ht="16.5" customHeight="1" thickTop="1">
      <c r="A25" s="42" t="s">
        <v>31</v>
      </c>
      <c r="B25" s="24">
        <f aca="true" t="shared" si="6" ref="B25:N25">IF(B$11=0,0,+B24/B$11)</f>
        <v>17.755681818181817</v>
      </c>
      <c r="C25" s="24">
        <f t="shared" si="6"/>
        <v>8.877840909090908</v>
      </c>
      <c r="D25" s="24">
        <f t="shared" si="6"/>
        <v>5.918560606060606</v>
      </c>
      <c r="E25" s="24">
        <f t="shared" si="6"/>
        <v>3.5511363636363638</v>
      </c>
      <c r="F25" s="24">
        <f t="shared" si="6"/>
        <v>2.219460227272727</v>
      </c>
      <c r="G25" s="24">
        <f t="shared" si="6"/>
        <v>1.4796401515151516</v>
      </c>
      <c r="H25" s="24">
        <f t="shared" si="6"/>
        <v>0.8308960382876894</v>
      </c>
      <c r="I25" s="24">
        <f t="shared" si="6"/>
        <v>0.6210254372019078</v>
      </c>
      <c r="J25" s="24">
        <f t="shared" si="6"/>
        <v>0.44433385468505615</v>
      </c>
      <c r="K25" s="24">
        <f t="shared" si="6"/>
        <v>0.3527884398284037</v>
      </c>
      <c r="L25" s="24">
        <f t="shared" si="6"/>
        <v>0.2825241840701564</v>
      </c>
      <c r="M25" s="24">
        <f t="shared" si="6"/>
        <v>0.242266842390883</v>
      </c>
      <c r="N25" s="43">
        <f t="shared" si="6"/>
        <v>0.6931608133086876</v>
      </c>
      <c r="O25" s="24"/>
    </row>
    <row r="26" spans="1:15" ht="16.5" customHeight="1">
      <c r="A26" s="42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43"/>
      <c r="O26" s="24"/>
    </row>
    <row r="27" spans="1:15" ht="15.75" customHeight="1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3"/>
      <c r="O27" s="24"/>
    </row>
    <row r="28" spans="1:15" ht="15.75" customHeight="1">
      <c r="A28" s="136" t="s">
        <v>32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3"/>
      <c r="O28" s="24"/>
    </row>
    <row r="29" ht="12.75" customHeight="1">
      <c r="M29" s="48"/>
    </row>
    <row r="30" spans="1:15" ht="15.75" customHeight="1">
      <c r="A30" s="49" t="str">
        <f>'[1]Assumptions'!$A$337</f>
        <v>General &amp; Administrative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3"/>
      <c r="O30" s="24"/>
    </row>
    <row r="31" spans="1:15" ht="15.75" customHeight="1">
      <c r="A31" s="6" t="s">
        <v>52</v>
      </c>
      <c r="B31" s="64">
        <v>900000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3"/>
      <c r="O31" s="24"/>
    </row>
    <row r="32" spans="1:15" ht="15.75" customHeight="1">
      <c r="A32" s="21" t="str">
        <f>'[1]Assumptions'!A377</f>
        <v>Salary Payroll</v>
      </c>
      <c r="B32" s="64">
        <f>'[1]Assumptions'!B377</f>
        <v>115833.33333333333</v>
      </c>
      <c r="C32" s="64">
        <f>'[1]Assumptions'!C377</f>
        <v>115833.33333333333</v>
      </c>
      <c r="D32" s="64">
        <f>'[1]Assumptions'!D377</f>
        <v>115833.33333333333</v>
      </c>
      <c r="E32" s="64">
        <f>'[1]Assumptions'!E377</f>
        <v>115833.33333333333</v>
      </c>
      <c r="F32" s="64">
        <f>'[1]Assumptions'!F377</f>
        <v>115833.33333333333</v>
      </c>
      <c r="G32" s="64">
        <f>'[1]Assumptions'!G377</f>
        <v>115833.33333333333</v>
      </c>
      <c r="H32" s="64">
        <f>'[1]Assumptions'!H377</f>
        <v>115833.33333333333</v>
      </c>
      <c r="I32" s="64">
        <f>'[1]Assumptions'!I377</f>
        <v>115833.33333333333</v>
      </c>
      <c r="J32" s="64">
        <f>'[1]Assumptions'!J377</f>
        <v>115833.33333333333</v>
      </c>
      <c r="K32" s="64">
        <f>'[1]Assumptions'!K377</f>
        <v>115833.33333333333</v>
      </c>
      <c r="L32" s="64">
        <f>'[1]Assumptions'!L377</f>
        <v>115833.33333333333</v>
      </c>
      <c r="M32" s="64">
        <f>'[1]Assumptions'!M377</f>
        <v>115833.33333333333</v>
      </c>
      <c r="N32" s="23">
        <f>SUM(B32:M32)</f>
        <v>1390000</v>
      </c>
      <c r="O32" s="24">
        <f aca="true" t="shared" si="7" ref="O32:O46">IF(N$11=0,0,+N32/N$11)</f>
        <v>0.3211645101663586</v>
      </c>
    </row>
    <row r="33" spans="1:15" ht="15.75" customHeight="1">
      <c r="A33" s="21" t="str">
        <f>'[1]Assumptions'!A378</f>
        <v>Fringe Benefits (20% of Salaries)</v>
      </c>
      <c r="B33" s="64">
        <f>'[1]Assumptions'!B378</f>
        <v>23166.666666666668</v>
      </c>
      <c r="C33" s="64">
        <f>'[1]Assumptions'!C378</f>
        <v>23166.666666666668</v>
      </c>
      <c r="D33" s="64">
        <f>'[1]Assumptions'!D378</f>
        <v>23166.666666666668</v>
      </c>
      <c r="E33" s="64">
        <f>'[1]Assumptions'!E378</f>
        <v>23166.666666666668</v>
      </c>
      <c r="F33" s="64">
        <f>'[1]Assumptions'!F378</f>
        <v>23166.666666666668</v>
      </c>
      <c r="G33" s="64">
        <f>'[1]Assumptions'!G378</f>
        <v>23166.666666666668</v>
      </c>
      <c r="H33" s="64">
        <f>'[1]Assumptions'!H378</f>
        <v>23166.666666666668</v>
      </c>
      <c r="I33" s="64">
        <f>'[1]Assumptions'!I378</f>
        <v>23166.666666666668</v>
      </c>
      <c r="J33" s="64">
        <f>'[1]Assumptions'!J378</f>
        <v>23166.666666666668</v>
      </c>
      <c r="K33" s="64">
        <f>'[1]Assumptions'!K378</f>
        <v>23166.666666666668</v>
      </c>
      <c r="L33" s="64">
        <f>'[1]Assumptions'!L378</f>
        <v>23166.666666666668</v>
      </c>
      <c r="M33" s="64">
        <f>'[1]Assumptions'!M378</f>
        <v>23166.666666666668</v>
      </c>
      <c r="N33" s="23">
        <f aca="true" t="shared" si="8" ref="N33:N46">SUM(B33:M33)</f>
        <v>277999.99999999994</v>
      </c>
      <c r="O33" s="24">
        <f t="shared" si="7"/>
        <v>0.0642329020332717</v>
      </c>
    </row>
    <row r="34" spans="1:15" ht="15.75" customHeight="1">
      <c r="A34" s="21" t="str">
        <f>'[1]Assumptions'!A379</f>
        <v>Bonuses (20% of salaries)</v>
      </c>
      <c r="B34" s="64">
        <f>'[1]Assumptions'!B379</f>
        <v>23166.666666666668</v>
      </c>
      <c r="C34" s="64">
        <f>'[1]Assumptions'!C379</f>
        <v>23166.666666666668</v>
      </c>
      <c r="D34" s="64">
        <f>'[1]Assumptions'!D379</f>
        <v>23166.666666666668</v>
      </c>
      <c r="E34" s="64">
        <f>'[1]Assumptions'!E379</f>
        <v>23166.666666666668</v>
      </c>
      <c r="F34" s="64">
        <f>'[1]Assumptions'!F379</f>
        <v>23166.666666666668</v>
      </c>
      <c r="G34" s="64">
        <f>'[1]Assumptions'!G379</f>
        <v>23166.666666666668</v>
      </c>
      <c r="H34" s="64">
        <f>'[1]Assumptions'!H379</f>
        <v>23166.666666666668</v>
      </c>
      <c r="I34" s="64">
        <f>'[1]Assumptions'!I379</f>
        <v>23166.666666666668</v>
      </c>
      <c r="J34" s="64">
        <f>'[1]Assumptions'!J379</f>
        <v>23166.666666666668</v>
      </c>
      <c r="K34" s="64">
        <f>'[1]Assumptions'!K379</f>
        <v>23166.666666666668</v>
      </c>
      <c r="L34" s="64">
        <f>'[1]Assumptions'!L379</f>
        <v>23166.666666666668</v>
      </c>
      <c r="M34" s="64">
        <f>'[1]Assumptions'!M379</f>
        <v>23166.666666666668</v>
      </c>
      <c r="N34" s="23">
        <f t="shared" si="8"/>
        <v>277999.99999999994</v>
      </c>
      <c r="O34" s="24">
        <f t="shared" si="7"/>
        <v>0.0642329020332717</v>
      </c>
    </row>
    <row r="35" spans="1:15" ht="15.75" customHeight="1">
      <c r="A35" s="21" t="str">
        <f>'[1]Assumptions'!A380</f>
        <v>Travel &amp; Entertainment</v>
      </c>
      <c r="B35" s="64">
        <f>'[1]Assumptions'!B380</f>
        <v>7000</v>
      </c>
      <c r="C35" s="64">
        <f>'[1]Assumptions'!C380</f>
        <v>7000</v>
      </c>
      <c r="D35" s="64">
        <f>'[1]Assumptions'!D380</f>
        <v>7000</v>
      </c>
      <c r="E35" s="64">
        <f>'[1]Assumptions'!E380</f>
        <v>7000</v>
      </c>
      <c r="F35" s="64">
        <f>'[1]Assumptions'!F380</f>
        <v>7000</v>
      </c>
      <c r="G35" s="64">
        <f>'[1]Assumptions'!G380</f>
        <v>7000</v>
      </c>
      <c r="H35" s="64">
        <f>'[1]Assumptions'!H380</f>
        <v>7000</v>
      </c>
      <c r="I35" s="64">
        <f>'[1]Assumptions'!I380</f>
        <v>7000</v>
      </c>
      <c r="J35" s="64">
        <f>'[1]Assumptions'!J380</f>
        <v>7000</v>
      </c>
      <c r="K35" s="64">
        <f>'[1]Assumptions'!K380</f>
        <v>7000</v>
      </c>
      <c r="L35" s="64">
        <f>'[1]Assumptions'!L380</f>
        <v>7000</v>
      </c>
      <c r="M35" s="64">
        <f>'[1]Assumptions'!M380</f>
        <v>7000</v>
      </c>
      <c r="N35" s="23">
        <f t="shared" si="8"/>
        <v>84000</v>
      </c>
      <c r="O35" s="24"/>
    </row>
    <row r="36" spans="1:15" ht="15.75" customHeight="1">
      <c r="A36" s="21" t="str">
        <f>'[1]Assumptions'!A381</f>
        <v>Co-Location Network Costs</v>
      </c>
      <c r="B36" s="64">
        <f>'[1]Assumptions'!B381</f>
        <v>8333.333333333334</v>
      </c>
      <c r="C36" s="64">
        <f>'[1]Assumptions'!C381</f>
        <v>8333.333333333334</v>
      </c>
      <c r="D36" s="64">
        <f>'[1]Assumptions'!D381</f>
        <v>8333.333333333334</v>
      </c>
      <c r="E36" s="64">
        <f>'[1]Assumptions'!E381</f>
        <v>8333.333333333334</v>
      </c>
      <c r="F36" s="64">
        <f>'[1]Assumptions'!F381</f>
        <v>8333.333333333334</v>
      </c>
      <c r="G36" s="64">
        <f>'[1]Assumptions'!G381</f>
        <v>8333.333333333334</v>
      </c>
      <c r="H36" s="64">
        <f>'[1]Assumptions'!H381</f>
        <v>8333.333333333334</v>
      </c>
      <c r="I36" s="64">
        <f>'[1]Assumptions'!I381</f>
        <v>8333.333333333334</v>
      </c>
      <c r="J36" s="64">
        <f>'[1]Assumptions'!J381</f>
        <v>8333.333333333334</v>
      </c>
      <c r="K36" s="64">
        <f>'[1]Assumptions'!K381</f>
        <v>8333.333333333334</v>
      </c>
      <c r="L36" s="64">
        <f>'[1]Assumptions'!L381</f>
        <v>8333.333333333334</v>
      </c>
      <c r="M36" s="64">
        <f>'[1]Assumptions'!M381</f>
        <v>8333.333333333334</v>
      </c>
      <c r="N36" s="23">
        <f t="shared" si="8"/>
        <v>99999.99999999999</v>
      </c>
      <c r="O36" s="24">
        <f t="shared" si="7"/>
        <v>0.023105360443622918</v>
      </c>
    </row>
    <row r="37" spans="1:15" ht="15.75" customHeight="1">
      <c r="A37" s="21" t="str">
        <f>'[1]Assumptions'!A382</f>
        <v>Legal &amp; Consulting Fees</v>
      </c>
      <c r="B37" s="64">
        <f>'[1]Assumptions'!B382</f>
        <v>10000</v>
      </c>
      <c r="C37" s="64">
        <f>'[1]Assumptions'!C382</f>
        <v>10000</v>
      </c>
      <c r="D37" s="64">
        <f>'[1]Assumptions'!D382</f>
        <v>10000</v>
      </c>
      <c r="E37" s="64">
        <f>'[1]Assumptions'!E382</f>
        <v>10000</v>
      </c>
      <c r="F37" s="64">
        <f>'[1]Assumptions'!F382</f>
        <v>10000</v>
      </c>
      <c r="G37" s="64">
        <f>'[1]Assumptions'!G382</f>
        <v>10000</v>
      </c>
      <c r="H37" s="64">
        <f>'[1]Assumptions'!H382</f>
        <v>10000</v>
      </c>
      <c r="I37" s="64">
        <f>'[1]Assumptions'!I382</f>
        <v>10000</v>
      </c>
      <c r="J37" s="64">
        <f>'[1]Assumptions'!J382</f>
        <v>10000</v>
      </c>
      <c r="K37" s="64">
        <f>'[1]Assumptions'!K382</f>
        <v>10000</v>
      </c>
      <c r="L37" s="64">
        <f>'[1]Assumptions'!L382</f>
        <v>10000</v>
      </c>
      <c r="M37" s="64">
        <f>'[1]Assumptions'!M382</f>
        <v>10000</v>
      </c>
      <c r="N37" s="23">
        <f t="shared" si="8"/>
        <v>120000</v>
      </c>
      <c r="O37" s="24">
        <f t="shared" si="7"/>
        <v>0.027726432532347505</v>
      </c>
    </row>
    <row r="38" spans="1:15" ht="15.75" customHeight="1">
      <c r="A38" s="21" t="str">
        <f>'[1]Assumptions'!A383</f>
        <v>Leases - Copier               </v>
      </c>
      <c r="B38" s="64">
        <f>'[1]Assumptions'!B383</f>
        <v>332.50333333333333</v>
      </c>
      <c r="C38" s="64">
        <f>'[1]Assumptions'!C383</f>
        <v>332.50333333333333</v>
      </c>
      <c r="D38" s="64">
        <f>'[1]Assumptions'!D383</f>
        <v>332.50333333333333</v>
      </c>
      <c r="E38" s="64">
        <f>'[1]Assumptions'!E383</f>
        <v>332.50333333333333</v>
      </c>
      <c r="F38" s="64">
        <f>'[1]Assumptions'!F383</f>
        <v>332.50333333333333</v>
      </c>
      <c r="G38" s="64">
        <f>'[1]Assumptions'!G383</f>
        <v>332.50333333333333</v>
      </c>
      <c r="H38" s="64">
        <f>'[1]Assumptions'!H383</f>
        <v>332.50333333333333</v>
      </c>
      <c r="I38" s="64">
        <f>'[1]Assumptions'!I383</f>
        <v>332.50333333333333</v>
      </c>
      <c r="J38" s="64">
        <f>'[1]Assumptions'!J383</f>
        <v>332.50333333333333</v>
      </c>
      <c r="K38" s="64">
        <f>'[1]Assumptions'!K383</f>
        <v>332.50333333333333</v>
      </c>
      <c r="L38" s="64">
        <f>'[1]Assumptions'!L383</f>
        <v>332.50333333333333</v>
      </c>
      <c r="M38" s="64">
        <f>'[1]Assumptions'!M383</f>
        <v>332.50333333333333</v>
      </c>
      <c r="N38" s="23">
        <f t="shared" si="8"/>
        <v>3990.039999999999</v>
      </c>
      <c r="O38" s="24">
        <f t="shared" si="7"/>
        <v>0.0009219131238447318</v>
      </c>
    </row>
    <row r="39" spans="1:15" ht="15.75" customHeight="1">
      <c r="A39" s="21" t="str">
        <f>'[1]Assumptions'!A384</f>
        <v>Lease  - Telephone            </v>
      </c>
      <c r="B39" s="64">
        <f>'[1]Assumptions'!B384</f>
        <v>1627.4333333333334</v>
      </c>
      <c r="C39" s="64">
        <f>'[1]Assumptions'!C384</f>
        <v>1627.4333333333334</v>
      </c>
      <c r="D39" s="64">
        <f>'[1]Assumptions'!D384</f>
        <v>1627.4333333333334</v>
      </c>
      <c r="E39" s="64">
        <f>'[1]Assumptions'!E384</f>
        <v>1627.4333333333334</v>
      </c>
      <c r="F39" s="64">
        <f>'[1]Assumptions'!F384</f>
        <v>1627.4333333333334</v>
      </c>
      <c r="G39" s="64">
        <f>'[1]Assumptions'!G384</f>
        <v>1627.4333333333334</v>
      </c>
      <c r="H39" s="64">
        <f>'[1]Assumptions'!H384</f>
        <v>1627.4333333333334</v>
      </c>
      <c r="I39" s="64">
        <f>'[1]Assumptions'!I384</f>
        <v>1627.4333333333334</v>
      </c>
      <c r="J39" s="64">
        <f>'[1]Assumptions'!J384</f>
        <v>1627.4333333333334</v>
      </c>
      <c r="K39" s="64">
        <f>'[1]Assumptions'!K384</f>
        <v>1627.4333333333334</v>
      </c>
      <c r="L39" s="64">
        <f>'[1]Assumptions'!L384</f>
        <v>1627.4333333333334</v>
      </c>
      <c r="M39" s="64">
        <f>'[1]Assumptions'!M384</f>
        <v>1627.4333333333334</v>
      </c>
      <c r="N39" s="23">
        <f t="shared" si="8"/>
        <v>19529.200000000004</v>
      </c>
      <c r="O39" s="24">
        <f t="shared" si="7"/>
        <v>0.0045122920517560085</v>
      </c>
    </row>
    <row r="40" spans="1:15" ht="15.75" customHeight="1">
      <c r="A40" s="21" t="str">
        <f>'[1]Assumptions'!A385</f>
        <v>Office Internet access</v>
      </c>
      <c r="B40" s="64">
        <f>'[1]Assumptions'!B385</f>
        <v>750</v>
      </c>
      <c r="C40" s="64">
        <f>'[1]Assumptions'!C385</f>
        <v>750</v>
      </c>
      <c r="D40" s="64">
        <f>'[1]Assumptions'!D385</f>
        <v>750</v>
      </c>
      <c r="E40" s="64">
        <f>'[1]Assumptions'!E385</f>
        <v>750</v>
      </c>
      <c r="F40" s="64">
        <f>'[1]Assumptions'!F385</f>
        <v>750</v>
      </c>
      <c r="G40" s="64">
        <f>'[1]Assumptions'!G385</f>
        <v>750</v>
      </c>
      <c r="H40" s="64">
        <f>'[1]Assumptions'!H385</f>
        <v>750</v>
      </c>
      <c r="I40" s="64">
        <f>'[1]Assumptions'!I385</f>
        <v>750</v>
      </c>
      <c r="J40" s="64">
        <f>'[1]Assumptions'!J385</f>
        <v>750</v>
      </c>
      <c r="K40" s="64">
        <f>'[1]Assumptions'!K385</f>
        <v>750</v>
      </c>
      <c r="L40" s="64">
        <f>'[1]Assumptions'!L385</f>
        <v>750</v>
      </c>
      <c r="M40" s="64">
        <f>'[1]Assumptions'!M385</f>
        <v>750</v>
      </c>
      <c r="N40" s="23">
        <f t="shared" si="8"/>
        <v>9000</v>
      </c>
      <c r="O40" s="24">
        <f t="shared" si="7"/>
        <v>0.0020794824399260627</v>
      </c>
    </row>
    <row r="41" spans="1:15" ht="15.75" customHeight="1">
      <c r="A41" s="21" t="str">
        <f>'[1]Assumptions'!A386</f>
        <v>Postage &amp; Delivery            </v>
      </c>
      <c r="B41" s="64">
        <f>'[1]Assumptions'!B386</f>
        <v>2000</v>
      </c>
      <c r="C41" s="64">
        <f>'[1]Assumptions'!C386</f>
        <v>2000</v>
      </c>
      <c r="D41" s="64">
        <f>'[1]Assumptions'!D386</f>
        <v>2000</v>
      </c>
      <c r="E41" s="64">
        <f>'[1]Assumptions'!E386</f>
        <v>2000</v>
      </c>
      <c r="F41" s="64">
        <f>'[1]Assumptions'!F386</f>
        <v>2000</v>
      </c>
      <c r="G41" s="64">
        <f>'[1]Assumptions'!G386</f>
        <v>2000</v>
      </c>
      <c r="H41" s="64">
        <f>'[1]Assumptions'!H386</f>
        <v>2000</v>
      </c>
      <c r="I41" s="64">
        <f>'[1]Assumptions'!I386</f>
        <v>2000</v>
      </c>
      <c r="J41" s="64">
        <f>'[1]Assumptions'!J386</f>
        <v>2000</v>
      </c>
      <c r="K41" s="64">
        <f>'[1]Assumptions'!K386</f>
        <v>2000</v>
      </c>
      <c r="L41" s="64">
        <f>'[1]Assumptions'!L386</f>
        <v>2000</v>
      </c>
      <c r="M41" s="64">
        <f>'[1]Assumptions'!M386</f>
        <v>2000</v>
      </c>
      <c r="N41" s="23">
        <f t="shared" si="8"/>
        <v>24000</v>
      </c>
      <c r="O41" s="24"/>
    </row>
    <row r="42" spans="1:15" ht="15.75" customHeight="1">
      <c r="A42" s="21" t="str">
        <f>'[1]Assumptions'!A387</f>
        <v>Rent Expense                  </v>
      </c>
      <c r="B42" s="64">
        <f>'[1]Assumptions'!B387</f>
        <v>6000</v>
      </c>
      <c r="C42" s="64">
        <f>'[1]Assumptions'!C387</f>
        <v>6000</v>
      </c>
      <c r="D42" s="64">
        <f>'[1]Assumptions'!D387</f>
        <v>6000</v>
      </c>
      <c r="E42" s="64">
        <f>'[1]Assumptions'!E387</f>
        <v>6000</v>
      </c>
      <c r="F42" s="64">
        <f>'[1]Assumptions'!F387</f>
        <v>6000</v>
      </c>
      <c r="G42" s="64">
        <f>'[1]Assumptions'!G387</f>
        <v>6000</v>
      </c>
      <c r="H42" s="64">
        <f>'[1]Assumptions'!H387</f>
        <v>6000</v>
      </c>
      <c r="I42" s="64">
        <f>'[1]Assumptions'!I387</f>
        <v>6000</v>
      </c>
      <c r="J42" s="64">
        <f>'[1]Assumptions'!J387</f>
        <v>6000</v>
      </c>
      <c r="K42" s="64">
        <f>'[1]Assumptions'!K387</f>
        <v>6000</v>
      </c>
      <c r="L42" s="64">
        <f>'[1]Assumptions'!L387</f>
        <v>6000</v>
      </c>
      <c r="M42" s="64">
        <f>'[1]Assumptions'!M387</f>
        <v>6000</v>
      </c>
      <c r="N42" s="23">
        <f t="shared" si="8"/>
        <v>72000</v>
      </c>
      <c r="O42" s="24"/>
    </row>
    <row r="43" spans="1:15" ht="15.75" customHeight="1">
      <c r="A43" s="21" t="str">
        <f>'[1]Assumptions'!A388</f>
        <v>Utilities                     </v>
      </c>
      <c r="B43" s="64">
        <f>'[1]Assumptions'!B388</f>
        <v>1000</v>
      </c>
      <c r="C43" s="64">
        <f>'[1]Assumptions'!C388</f>
        <v>1000</v>
      </c>
      <c r="D43" s="64">
        <f>'[1]Assumptions'!D388</f>
        <v>1000</v>
      </c>
      <c r="E43" s="64">
        <f>'[1]Assumptions'!E388</f>
        <v>1000</v>
      </c>
      <c r="F43" s="64">
        <f>'[1]Assumptions'!F388</f>
        <v>1000</v>
      </c>
      <c r="G43" s="64">
        <f>'[1]Assumptions'!G388</f>
        <v>1000</v>
      </c>
      <c r="H43" s="64">
        <f>'[1]Assumptions'!H388</f>
        <v>1000</v>
      </c>
      <c r="I43" s="64">
        <f>'[1]Assumptions'!I388</f>
        <v>1000</v>
      </c>
      <c r="J43" s="64">
        <f>'[1]Assumptions'!J388</f>
        <v>1000</v>
      </c>
      <c r="K43" s="64">
        <f>'[1]Assumptions'!K388</f>
        <v>1000</v>
      </c>
      <c r="L43" s="64">
        <f>'[1]Assumptions'!L388</f>
        <v>1000</v>
      </c>
      <c r="M43" s="64">
        <f>'[1]Assumptions'!M388</f>
        <v>1000</v>
      </c>
      <c r="N43" s="23">
        <f t="shared" si="8"/>
        <v>12000</v>
      </c>
      <c r="O43" s="24"/>
    </row>
    <row r="44" spans="1:15" ht="15.75" customHeight="1">
      <c r="A44" s="21" t="str">
        <f>'[1]Assumptions'!A389</f>
        <v>Miscellaneous</v>
      </c>
      <c r="B44" s="64">
        <f>'[1]Assumptions'!B389</f>
        <v>10000</v>
      </c>
      <c r="C44" s="64">
        <f>'[1]Assumptions'!C389</f>
        <v>10000</v>
      </c>
      <c r="D44" s="64">
        <f>'[1]Assumptions'!D389</f>
        <v>10000</v>
      </c>
      <c r="E44" s="64">
        <f>'[1]Assumptions'!E389</f>
        <v>10000</v>
      </c>
      <c r="F44" s="64">
        <f>'[1]Assumptions'!F389</f>
        <v>10000</v>
      </c>
      <c r="G44" s="64">
        <f>'[1]Assumptions'!G389</f>
        <v>10000</v>
      </c>
      <c r="H44" s="64">
        <f>'[1]Assumptions'!H389</f>
        <v>10000</v>
      </c>
      <c r="I44" s="64">
        <f>'[1]Assumptions'!I389</f>
        <v>10000</v>
      </c>
      <c r="J44" s="64">
        <f>'[1]Assumptions'!J389</f>
        <v>10000</v>
      </c>
      <c r="K44" s="64">
        <f>'[1]Assumptions'!K389</f>
        <v>10000</v>
      </c>
      <c r="L44" s="64">
        <f>'[1]Assumptions'!L389</f>
        <v>10000</v>
      </c>
      <c r="M44" s="64">
        <f>'[1]Assumptions'!M389</f>
        <v>10000</v>
      </c>
      <c r="N44" s="23">
        <f t="shared" si="8"/>
        <v>120000</v>
      </c>
      <c r="O44" s="24"/>
    </row>
    <row r="45" spans="1:15" ht="15.75" customHeight="1">
      <c r="A45" s="21" t="s">
        <v>50</v>
      </c>
      <c r="B45" s="64">
        <f>'[1]Assumptions'!B390</f>
        <v>8333.333333333334</v>
      </c>
      <c r="C45" s="64">
        <f>'[1]Assumptions'!C390</f>
        <v>8333.333333333334</v>
      </c>
      <c r="D45" s="64">
        <f>'[1]Assumptions'!D390</f>
        <v>8333.333333333334</v>
      </c>
      <c r="E45" s="64">
        <f>'[1]Assumptions'!E390</f>
        <v>8333.333333333334</v>
      </c>
      <c r="F45" s="64">
        <f>'[1]Assumptions'!F390</f>
        <v>8333.333333333334</v>
      </c>
      <c r="G45" s="64">
        <f>'[1]Assumptions'!G390</f>
        <v>8333.333333333334</v>
      </c>
      <c r="H45" s="64">
        <f>'[1]Assumptions'!H390</f>
        <v>8333.333333333334</v>
      </c>
      <c r="I45" s="64">
        <f>'[1]Assumptions'!I390</f>
        <v>8333.333333333334</v>
      </c>
      <c r="J45" s="64">
        <f>'[1]Assumptions'!J390</f>
        <v>8333.333333333334</v>
      </c>
      <c r="K45" s="64">
        <f>'[1]Assumptions'!K390</f>
        <v>8333.333333333334</v>
      </c>
      <c r="L45" s="64">
        <f>'[1]Assumptions'!L390</f>
        <v>8333.333333333334</v>
      </c>
      <c r="M45" s="64">
        <f>'[1]Assumptions'!M390</f>
        <v>8333.333333333334</v>
      </c>
      <c r="N45" s="50">
        <f t="shared" si="8"/>
        <v>99999.99999999999</v>
      </c>
      <c r="O45" s="24"/>
    </row>
    <row r="46" spans="1:15" ht="16.5" customHeight="1" thickBot="1">
      <c r="A46" s="44" t="s">
        <v>33</v>
      </c>
      <c r="B46" s="77">
        <f>SUM(B31:B45)</f>
        <v>1117543.27</v>
      </c>
      <c r="C46" s="45">
        <f aca="true" t="shared" si="9" ref="C46:M46">SUM(C$32:C$45)</f>
        <v>217543.27</v>
      </c>
      <c r="D46" s="45">
        <f t="shared" si="9"/>
        <v>217543.27</v>
      </c>
      <c r="E46" s="45">
        <f t="shared" si="9"/>
        <v>217543.27</v>
      </c>
      <c r="F46" s="45">
        <f t="shared" si="9"/>
        <v>217543.27</v>
      </c>
      <c r="G46" s="45">
        <f t="shared" si="9"/>
        <v>217543.27</v>
      </c>
      <c r="H46" s="45">
        <f t="shared" si="9"/>
        <v>217543.27</v>
      </c>
      <c r="I46" s="45">
        <f t="shared" si="9"/>
        <v>217543.27</v>
      </c>
      <c r="J46" s="45">
        <f t="shared" si="9"/>
        <v>217543.27</v>
      </c>
      <c r="K46" s="45">
        <f t="shared" si="9"/>
        <v>217543.27</v>
      </c>
      <c r="L46" s="45">
        <f t="shared" si="9"/>
        <v>217543.27</v>
      </c>
      <c r="M46" s="45">
        <f t="shared" si="9"/>
        <v>217543.27</v>
      </c>
      <c r="N46" s="51">
        <f t="shared" si="8"/>
        <v>3510519.24</v>
      </c>
      <c r="O46" s="47">
        <f t="shared" si="7"/>
        <v>0.811118123844732</v>
      </c>
    </row>
    <row r="47" spans="1:15" ht="16.5" customHeight="1" thickTop="1">
      <c r="A47" s="42" t="s">
        <v>31</v>
      </c>
      <c r="B47" s="24">
        <f aca="true" t="shared" si="10" ref="B47:N47">IF(B$11=0,0,+B46/B$11)</f>
        <v>79.37097088068182</v>
      </c>
      <c r="C47" s="24">
        <f t="shared" si="10"/>
        <v>7.725258167613636</v>
      </c>
      <c r="D47" s="24">
        <f t="shared" si="10"/>
        <v>5.150172111742424</v>
      </c>
      <c r="E47" s="24">
        <f t="shared" si="10"/>
        <v>3.0901032670454542</v>
      </c>
      <c r="F47" s="24">
        <f t="shared" si="10"/>
        <v>1.931314541903409</v>
      </c>
      <c r="G47" s="24">
        <f t="shared" si="10"/>
        <v>1.287543027935606</v>
      </c>
      <c r="H47" s="24">
        <f t="shared" si="10"/>
        <v>0.7230233647965966</v>
      </c>
      <c r="I47" s="24">
        <f t="shared" si="10"/>
        <v>0.5403996174483306</v>
      </c>
      <c r="J47" s="24">
        <f t="shared" si="10"/>
        <v>0.38664735887956775</v>
      </c>
      <c r="K47" s="24">
        <f t="shared" si="10"/>
        <v>0.3069870032738767</v>
      </c>
      <c r="L47" s="24">
        <f t="shared" si="10"/>
        <v>0.24584493942681493</v>
      </c>
      <c r="M47" s="24">
        <f t="shared" si="10"/>
        <v>0.21081408442514923</v>
      </c>
      <c r="N47" s="43">
        <f t="shared" si="10"/>
        <v>0.811118123844732</v>
      </c>
      <c r="O47" s="24"/>
    </row>
    <row r="48" spans="1:15" ht="15.75" customHeight="1">
      <c r="A48" s="21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3"/>
      <c r="O48" s="24"/>
    </row>
    <row r="49" spans="1:15" ht="15.75" customHeight="1">
      <c r="A49" s="21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3"/>
      <c r="O49" s="24"/>
    </row>
    <row r="50" spans="1:15" ht="16.5" customHeight="1" thickBot="1">
      <c r="A50" s="52" t="s">
        <v>34</v>
      </c>
      <c r="B50" s="53">
        <f>B11-B46-B24-B19</f>
        <v>-1367643.27</v>
      </c>
      <c r="C50" s="53">
        <f aca="true" t="shared" si="11" ref="C50:M50">C11-C46-C24-C19</f>
        <v>-455243.27</v>
      </c>
      <c r="D50" s="53">
        <f t="shared" si="11"/>
        <v>-442843.27</v>
      </c>
      <c r="E50" s="53">
        <f t="shared" si="11"/>
        <v>-418043.27</v>
      </c>
      <c r="F50" s="53">
        <f t="shared" si="11"/>
        <v>-380843.27</v>
      </c>
      <c r="G50" s="53">
        <f t="shared" si="11"/>
        <v>-331243.27</v>
      </c>
      <c r="H50" s="53">
        <f t="shared" si="11"/>
        <v>-382016.27</v>
      </c>
      <c r="I50" s="53">
        <f t="shared" si="11"/>
        <v>-292240.27</v>
      </c>
      <c r="J50" s="53">
        <f t="shared" si="11"/>
        <v>-150880.27000000002</v>
      </c>
      <c r="K50" s="53">
        <f t="shared" si="11"/>
        <v>-21920.27000000002</v>
      </c>
      <c r="L50" s="53">
        <f t="shared" si="11"/>
        <v>133823.72999999998</v>
      </c>
      <c r="M50" s="53">
        <f t="shared" si="11"/>
        <v>263775.73</v>
      </c>
      <c r="N50" s="51">
        <f>SUM(B50:M50)</f>
        <v>-3845317.2399999993</v>
      </c>
      <c r="O50" s="54">
        <f>IF(N$11=0,0,+N50/N$11)</f>
        <v>-0.8884744085027725</v>
      </c>
    </row>
    <row r="51" spans="1:15" ht="16.5" customHeight="1" thickTop="1">
      <c r="A51" s="55" t="s">
        <v>35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56"/>
      <c r="N51" s="22"/>
      <c r="O51" s="24">
        <f>IF(N$11=0,0,+N51/N$11)</f>
        <v>0</v>
      </c>
    </row>
    <row r="52" spans="1:15" ht="15.75" customHeight="1">
      <c r="A52" s="57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3"/>
      <c r="O52" s="24"/>
    </row>
    <row r="53" spans="1:15" ht="16.5" customHeight="1" thickBot="1">
      <c r="A53" s="58" t="s">
        <v>36</v>
      </c>
      <c r="B53" s="59">
        <f aca="true" t="shared" si="12" ref="B53:N53">B$50-B$51</f>
        <v>-1367643.27</v>
      </c>
      <c r="C53" s="59">
        <f t="shared" si="12"/>
        <v>-455243.27</v>
      </c>
      <c r="D53" s="59">
        <f t="shared" si="12"/>
        <v>-442843.27</v>
      </c>
      <c r="E53" s="59">
        <f t="shared" si="12"/>
        <v>-418043.27</v>
      </c>
      <c r="F53" s="59">
        <f t="shared" si="12"/>
        <v>-380843.27</v>
      </c>
      <c r="G53" s="59">
        <f t="shared" si="12"/>
        <v>-331243.27</v>
      </c>
      <c r="H53" s="59">
        <f t="shared" si="12"/>
        <v>-382016.27</v>
      </c>
      <c r="I53" s="59">
        <f t="shared" si="12"/>
        <v>-292240.27</v>
      </c>
      <c r="J53" s="59">
        <f t="shared" si="12"/>
        <v>-150880.27000000002</v>
      </c>
      <c r="K53" s="59">
        <f t="shared" si="12"/>
        <v>-21920.27000000002</v>
      </c>
      <c r="L53" s="59">
        <f t="shared" si="12"/>
        <v>133823.72999999998</v>
      </c>
      <c r="M53" s="59">
        <f t="shared" si="12"/>
        <v>263775.73</v>
      </c>
      <c r="N53" s="60">
        <f t="shared" si="12"/>
        <v>-3845317.2399999993</v>
      </c>
      <c r="O53" s="61">
        <f>IF(N$11=0,0,+N53/N$11)</f>
        <v>-0.8884744085027725</v>
      </c>
    </row>
    <row r="54" spans="1:14" ht="15.75" customHeight="1">
      <c r="A54" s="42" t="s">
        <v>31</v>
      </c>
      <c r="B54" s="62">
        <f aca="true" t="shared" si="13" ref="B54:N54">IF(B$11=0,0,+B53/B$11)</f>
        <v>-97.1337549715909</v>
      </c>
      <c r="C54" s="62">
        <f t="shared" si="13"/>
        <v>-16.166309303977272</v>
      </c>
      <c r="D54" s="62">
        <f t="shared" si="13"/>
        <v>-10.483978929924243</v>
      </c>
      <c r="E54" s="62">
        <f t="shared" si="13"/>
        <v>-5.938114630681818</v>
      </c>
      <c r="F54" s="62">
        <f t="shared" si="13"/>
        <v>-3.3810659623579546</v>
      </c>
      <c r="G54" s="62">
        <f t="shared" si="13"/>
        <v>-1.960483368844697</v>
      </c>
      <c r="H54" s="62">
        <f t="shared" si="13"/>
        <v>-1.2696632212177612</v>
      </c>
      <c r="I54" s="62">
        <f t="shared" si="13"/>
        <v>-0.7259545657790144</v>
      </c>
      <c r="J54" s="62">
        <f t="shared" si="13"/>
        <v>-0.2681648478600882</v>
      </c>
      <c r="K54" s="62">
        <f t="shared" si="13"/>
        <v>-0.03093287141566948</v>
      </c>
      <c r="L54" s="62">
        <f t="shared" si="13"/>
        <v>0.15123376050989962</v>
      </c>
      <c r="M54" s="62">
        <f t="shared" si="13"/>
        <v>0.2556164528258004</v>
      </c>
      <c r="N54" s="63">
        <f t="shared" si="13"/>
        <v>-0.8884744085027725</v>
      </c>
    </row>
  </sheetData>
  <printOptions/>
  <pageMargins left="0.75" right="0.75" top="1" bottom="1" header="0.5" footer="0.5"/>
  <pageSetup fitToHeight="1" fitToWidth="1" horizontalDpi="200" verticalDpi="200" orientation="landscape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workbookViewId="0" topLeftCell="H1">
      <selection activeCell="F6" sqref="F6"/>
    </sheetView>
  </sheetViews>
  <sheetFormatPr defaultColWidth="11.140625" defaultRowHeight="12.75"/>
  <cols>
    <col min="1" max="1" width="33.28125" style="12" bestFit="1" customWidth="1"/>
    <col min="2" max="2" width="24.8515625" style="12" bestFit="1" customWidth="1"/>
    <col min="3" max="5" width="11.7109375" style="12" bestFit="1" customWidth="1"/>
    <col min="6" max="6" width="14.00390625" style="12" customWidth="1"/>
    <col min="7" max="7" width="11.140625" style="13" customWidth="1"/>
    <col min="8" max="8" width="15.00390625" style="12" bestFit="1" customWidth="1"/>
    <col min="9" max="9" width="11.57421875" style="12" customWidth="1"/>
    <col min="10" max="10" width="13.28125" style="12" customWidth="1"/>
    <col min="11" max="11" width="11.7109375" style="12" customWidth="1"/>
    <col min="12" max="12" width="13.421875" style="12" customWidth="1"/>
    <col min="13" max="13" width="11.140625" style="13" customWidth="1"/>
    <col min="14" max="16384" width="11.140625" style="12" customWidth="1"/>
  </cols>
  <sheetData>
    <row r="1" spans="1:6" ht="22.5" customHeight="1">
      <c r="A1" s="65" t="s">
        <v>22</v>
      </c>
      <c r="B1" s="38" t="s">
        <v>37</v>
      </c>
      <c r="F1" s="2" t="s">
        <v>1</v>
      </c>
    </row>
    <row r="2" ht="12.75" customHeight="1">
      <c r="A2" s="14">
        <v>37622</v>
      </c>
    </row>
    <row r="3" ht="12.75" customHeight="1">
      <c r="F3" s="66"/>
    </row>
    <row r="4" spans="6:13" ht="13.5" customHeight="1">
      <c r="F4" s="15"/>
      <c r="G4" s="67" t="s">
        <v>24</v>
      </c>
      <c r="L4" s="15"/>
      <c r="M4" s="16" t="s">
        <v>24</v>
      </c>
    </row>
    <row r="5" spans="1:13" ht="15.75" customHeight="1">
      <c r="A5" s="17" t="s">
        <v>25</v>
      </c>
      <c r="B5" s="18" t="str">
        <f>'[1]Assumptions'!B$76</f>
        <v>Q1-Yr2</v>
      </c>
      <c r="C5" s="18" t="str">
        <f>'[1]Assumptions'!C$76</f>
        <v>Q2-Yr2</v>
      </c>
      <c r="D5" s="18" t="str">
        <f>'[1]Assumptions'!D$76</f>
        <v>Q3-Yr2</v>
      </c>
      <c r="E5" s="18" t="str">
        <f>'[1]Assumptions'!E$76</f>
        <v>Q4-Yr2</v>
      </c>
      <c r="F5" s="19" t="str">
        <f>'[1]Assumptions'!F$76</f>
        <v>Year 2</v>
      </c>
      <c r="G5" s="68" t="s">
        <v>25</v>
      </c>
      <c r="H5" s="18" t="str">
        <f>'[1]Assumptions'!G$76</f>
        <v>Q1-Yr3</v>
      </c>
      <c r="I5" s="18" t="str">
        <f>'[1]Assumptions'!H$76</f>
        <v>Q2-Yr3</v>
      </c>
      <c r="J5" s="18" t="str">
        <f>'[1]Assumptions'!I$76</f>
        <v>Q3-Yr3</v>
      </c>
      <c r="K5" s="18" t="str">
        <f>'[1]Assumptions'!J$76</f>
        <v>Q4-Yr3</v>
      </c>
      <c r="L5" s="19" t="str">
        <f>'[1]Assumptions'!K$76</f>
        <v>Year 3</v>
      </c>
      <c r="M5" s="20" t="s">
        <v>25</v>
      </c>
    </row>
    <row r="6" spans="1:13" ht="15.75" customHeight="1">
      <c r="A6" s="21" t="str">
        <f>'[1]Assumptions'!$A21</f>
        <v>E-commerce Revenues</v>
      </c>
      <c r="B6" s="22">
        <f>'[1]Gross Profit - Yrs 2-3'!B6</f>
        <v>847500</v>
      </c>
      <c r="C6" s="22">
        <f>'[1]Gross Profit - Yrs 2-3'!C6</f>
        <v>847500</v>
      </c>
      <c r="D6" s="22">
        <f>'[1]Gross Profit - Yrs 2-3'!D6</f>
        <v>847500</v>
      </c>
      <c r="E6" s="22">
        <f>'[1]Gross Profit - Yrs 2-3'!E6</f>
        <v>847500</v>
      </c>
      <c r="F6" s="23">
        <f>SUM(B6:E6)</f>
        <v>3390000</v>
      </c>
      <c r="G6" s="69">
        <f aca="true" t="shared" si="0" ref="G6:G12">IF(F$12=0,0,+F6/F$12)</f>
        <v>0.27031337213938283</v>
      </c>
      <c r="H6" s="22">
        <f>'[1]Gross Profit - Yrs 2-3'!H6</f>
        <v>1942500</v>
      </c>
      <c r="I6" s="22">
        <f>'[1]Gross Profit - Yrs 2-3'!I6</f>
        <v>1942500</v>
      </c>
      <c r="J6" s="22">
        <f>'[1]Gross Profit - Yrs 2-3'!J6</f>
        <v>1942500</v>
      </c>
      <c r="K6" s="22">
        <f>'[1]Gross Profit - Yrs 2-3'!K6</f>
        <v>1942500</v>
      </c>
      <c r="L6" s="23">
        <f>'[1]Gross Profit - Yrs 2-3'!L6</f>
        <v>7770000</v>
      </c>
      <c r="M6" s="24">
        <f aca="true" t="shared" si="1" ref="M6:M12">IF(L$12=0,0,+L6/L$12)</f>
        <v>0.29411764705882354</v>
      </c>
    </row>
    <row r="7" spans="1:13" ht="15.75" customHeight="1">
      <c r="A7" s="21" t="str">
        <f>'[1]Assumptions'!$A22</f>
        <v>Advertising Sales Revenues</v>
      </c>
      <c r="B7" s="22">
        <f>'[1]Gross Profit - Yrs 2-3'!B7</f>
        <v>54000</v>
      </c>
      <c r="C7" s="22">
        <f>'[1]Gross Profit - Yrs 2-3'!C7</f>
        <v>54000</v>
      </c>
      <c r="D7" s="22">
        <f>'[1]Gross Profit - Yrs 2-3'!D7</f>
        <v>54000</v>
      </c>
      <c r="E7" s="22">
        <f>'[1]Gross Profit - Yrs 2-3'!E7</f>
        <v>54000</v>
      </c>
      <c r="F7" s="23">
        <f aca="true" t="shared" si="2" ref="F7:F12">SUM(B7:E7)</f>
        <v>216000</v>
      </c>
      <c r="G7" s="69">
        <f t="shared" si="0"/>
        <v>0.017223506897376603</v>
      </c>
      <c r="H7" s="22">
        <f>'[1]Gross Profit - Yrs 2-3'!H7</f>
        <v>180000</v>
      </c>
      <c r="I7" s="22">
        <f>'[1]Gross Profit - Yrs 2-3'!I7</f>
        <v>180000</v>
      </c>
      <c r="J7" s="22">
        <f>'[1]Gross Profit - Yrs 2-3'!J7</f>
        <v>180000</v>
      </c>
      <c r="K7" s="22">
        <f>'[1]Gross Profit - Yrs 2-3'!K7</f>
        <v>180000</v>
      </c>
      <c r="L7" s="23">
        <f>'[1]Gross Profit - Yrs 2-3'!L17</f>
        <v>720000</v>
      </c>
      <c r="M7" s="24">
        <f t="shared" si="1"/>
        <v>0.027254144901203724</v>
      </c>
    </row>
    <row r="8" spans="1:13" ht="15.75" customHeight="1">
      <c r="A8" s="21" t="str">
        <f>'[1]Assumptions'!$A23</f>
        <v>Membership List Sales Revenues</v>
      </c>
      <c r="B8" s="22">
        <f>49000/4</f>
        <v>12250</v>
      </c>
      <c r="C8" s="22">
        <f>49000/4</f>
        <v>12250</v>
      </c>
      <c r="D8" s="22">
        <f>49000/4</f>
        <v>12250</v>
      </c>
      <c r="E8" s="22">
        <f>49000/4</f>
        <v>12250</v>
      </c>
      <c r="F8" s="23">
        <f t="shared" si="2"/>
        <v>49000</v>
      </c>
      <c r="G8" s="69">
        <f t="shared" si="0"/>
        <v>0.003907184435053026</v>
      </c>
      <c r="H8" s="22">
        <f>126000/4</f>
        <v>31500</v>
      </c>
      <c r="I8" s="22">
        <f>126000/4</f>
        <v>31500</v>
      </c>
      <c r="J8" s="22">
        <f>126000/4</f>
        <v>31500</v>
      </c>
      <c r="K8" s="22">
        <f>126000/4</f>
        <v>31500</v>
      </c>
      <c r="L8" s="23">
        <f>SUM(H8:K8)</f>
        <v>126000</v>
      </c>
      <c r="M8" s="24">
        <f t="shared" si="1"/>
        <v>0.0047694753577106515</v>
      </c>
    </row>
    <row r="9" spans="1:13" ht="15.75" customHeight="1">
      <c r="A9" s="21" t="str">
        <f>'[1]Assumptions'!$A24</f>
        <v>Publication Revenues</v>
      </c>
      <c r="B9" s="22">
        <v>1344000</v>
      </c>
      <c r="C9" s="22">
        <v>1344000</v>
      </c>
      <c r="D9" s="22">
        <v>1344000</v>
      </c>
      <c r="E9" s="22">
        <v>1344000</v>
      </c>
      <c r="F9" s="23">
        <f t="shared" si="2"/>
        <v>5376000</v>
      </c>
      <c r="G9" s="69">
        <f t="shared" si="0"/>
        <v>0.4286739494458177</v>
      </c>
      <c r="H9" s="22">
        <v>2688000</v>
      </c>
      <c r="I9" s="22">
        <v>2688000</v>
      </c>
      <c r="J9" s="22">
        <v>2688000</v>
      </c>
      <c r="K9" s="22">
        <v>2688000</v>
      </c>
      <c r="L9" s="23">
        <f>SUM(H9:K9)</f>
        <v>10752000</v>
      </c>
      <c r="M9" s="24">
        <f t="shared" si="1"/>
        <v>0.4069952305246423</v>
      </c>
    </row>
    <row r="10" spans="1:13" ht="15.75" customHeight="1">
      <c r="A10" s="21" t="str">
        <f>'[1]Assumptions'!$A25</f>
        <v>TV Program Production Revenues</v>
      </c>
      <c r="B10" s="22">
        <f>'[1]Gross Profit - Yrs 2-3'!B10</f>
        <v>750000</v>
      </c>
      <c r="C10" s="22">
        <f>'[1]Gross Profit - Yrs 2-3'!C10</f>
        <v>750000</v>
      </c>
      <c r="D10" s="22">
        <f>'[1]Gross Profit - Yrs 2-3'!D10</f>
        <v>750000</v>
      </c>
      <c r="E10" s="22">
        <f>'[1]Gross Profit - Yrs 2-3'!E10</f>
        <v>750000</v>
      </c>
      <c r="F10" s="23">
        <f t="shared" si="2"/>
        <v>3000000</v>
      </c>
      <c r="G10" s="69">
        <f t="shared" si="0"/>
        <v>0.23921537357467507</v>
      </c>
      <c r="H10" s="22">
        <f>'[1]Gross Profit - Yrs 2-3'!H10</f>
        <v>1125000</v>
      </c>
      <c r="I10" s="22">
        <f>'[1]Gross Profit - Yrs 2-3'!I10</f>
        <v>1125000</v>
      </c>
      <c r="J10" s="22">
        <f>'[1]Gross Profit - Yrs 2-3'!J10</f>
        <v>1125000</v>
      </c>
      <c r="K10" s="22">
        <f>'[1]Gross Profit - Yrs 2-3'!K10</f>
        <v>1125000</v>
      </c>
      <c r="L10" s="23">
        <f>SUM(H10:K10)</f>
        <v>4500000</v>
      </c>
      <c r="M10" s="24">
        <f t="shared" si="1"/>
        <v>0.17033840563252328</v>
      </c>
    </row>
    <row r="11" spans="1:13" ht="15.75" customHeight="1">
      <c r="A11" s="21" t="s">
        <v>54</v>
      </c>
      <c r="B11" s="22">
        <f>510000/4</f>
        <v>127500</v>
      </c>
      <c r="C11" s="22">
        <f>510000/4</f>
        <v>127500</v>
      </c>
      <c r="D11" s="22">
        <f>510000/4</f>
        <v>127500</v>
      </c>
      <c r="E11" s="22">
        <f>510000/4</f>
        <v>127500</v>
      </c>
      <c r="F11" s="50">
        <f t="shared" si="2"/>
        <v>510000</v>
      </c>
      <c r="G11" s="69">
        <f t="shared" si="0"/>
        <v>0.04066661350769476</v>
      </c>
      <c r="H11" s="22">
        <f>2550000/4</f>
        <v>637500</v>
      </c>
      <c r="I11" s="22">
        <f>2550000/4</f>
        <v>637500</v>
      </c>
      <c r="J11" s="22">
        <f>2550000/4</f>
        <v>637500</v>
      </c>
      <c r="K11" s="22">
        <f>2550000/4</f>
        <v>637500</v>
      </c>
      <c r="L11" s="23">
        <f>SUM(H11:K11)</f>
        <v>2550000</v>
      </c>
      <c r="M11" s="24">
        <f t="shared" si="1"/>
        <v>0.09652509652509653</v>
      </c>
    </row>
    <row r="12" spans="1:13" ht="16.5" customHeight="1" thickBot="1">
      <c r="A12" s="44" t="s">
        <v>26</v>
      </c>
      <c r="B12" s="45">
        <f>SUM(B6:B11)</f>
        <v>3135250</v>
      </c>
      <c r="C12" s="45">
        <f>SUM(C6:C11)</f>
        <v>3135250</v>
      </c>
      <c r="D12" s="45">
        <f>SUM(D6:D11)</f>
        <v>3135250</v>
      </c>
      <c r="E12" s="45">
        <f>SUM(E6:E11)</f>
        <v>3135250</v>
      </c>
      <c r="F12" s="134">
        <f t="shared" si="2"/>
        <v>12541000</v>
      </c>
      <c r="G12" s="70">
        <f t="shared" si="0"/>
        <v>1</v>
      </c>
      <c r="H12" s="45">
        <f>SUM(H6:H11)</f>
        <v>6604500</v>
      </c>
      <c r="I12" s="45">
        <f>SUM(I6:I11)</f>
        <v>6604500</v>
      </c>
      <c r="J12" s="45">
        <f>SUM(J6:J11)</f>
        <v>6604500</v>
      </c>
      <c r="K12" s="75">
        <f>SUM(K6:K11)</f>
        <v>6604500</v>
      </c>
      <c r="L12" s="45">
        <f>SUM(L6:L11)</f>
        <v>26418000</v>
      </c>
      <c r="M12" s="47">
        <f t="shared" si="1"/>
        <v>1</v>
      </c>
    </row>
    <row r="13" spans="1:13" ht="16.5" customHeight="1" thickTop="1">
      <c r="A13" s="21"/>
      <c r="B13" s="22"/>
      <c r="C13" s="22"/>
      <c r="D13" s="22"/>
      <c r="E13" s="22"/>
      <c r="F13" s="23"/>
      <c r="G13" s="69"/>
      <c r="H13" s="22"/>
      <c r="I13" s="22"/>
      <c r="J13" s="22"/>
      <c r="K13" s="22"/>
      <c r="L13" s="23"/>
      <c r="M13" s="24"/>
    </row>
    <row r="14" spans="1:13" s="13" customFormat="1" ht="16.5" customHeight="1">
      <c r="A14" s="71" t="s">
        <v>38</v>
      </c>
      <c r="B14" s="24"/>
      <c r="C14" s="24"/>
      <c r="D14" s="24"/>
      <c r="E14" s="24"/>
      <c r="F14" s="43"/>
      <c r="G14" s="69"/>
      <c r="H14" s="24"/>
      <c r="I14" s="24"/>
      <c r="J14" s="24"/>
      <c r="K14" s="24"/>
      <c r="L14" s="43"/>
      <c r="M14" s="24"/>
    </row>
    <row r="15" spans="1:13" ht="15.75" customHeight="1">
      <c r="A15" s="72" t="str">
        <f>'[1]Budget - Yr 1'!A14</f>
        <v>e-Commerce Cost of Sales</v>
      </c>
      <c r="B15" s="22">
        <f>'[1]Assumptions'!B222</f>
        <v>251999.99999999997</v>
      </c>
      <c r="C15" s="22">
        <f>'[1]Assumptions'!C222</f>
        <v>251999.99999999997</v>
      </c>
      <c r="D15" s="22">
        <f>'[1]Assumptions'!D222</f>
        <v>251999.99999999997</v>
      </c>
      <c r="E15" s="22">
        <f>'[1]Assumptions'!E222</f>
        <v>251999.99999999997</v>
      </c>
      <c r="F15" s="23">
        <f>SUM(B15:E15)</f>
        <v>1007999.9999999999</v>
      </c>
      <c r="G15" s="69">
        <f>IF(F$12=0,0,+F15/F$12)</f>
        <v>0.08037636552109081</v>
      </c>
      <c r="H15" s="73">
        <f>'[1]Assumptions'!G222</f>
        <v>427000</v>
      </c>
      <c r="I15" s="73">
        <f>'[1]Assumptions'!H222</f>
        <v>427000</v>
      </c>
      <c r="J15" s="73">
        <f>'[1]Assumptions'!I222</f>
        <v>427000</v>
      </c>
      <c r="K15" s="73">
        <f>'[1]Assumptions'!J222</f>
        <v>427000</v>
      </c>
      <c r="L15" s="74">
        <f>SUM(H15:K15)</f>
        <v>1708000</v>
      </c>
      <c r="M15" s="24">
        <f>IF(L$23=0,0,+L15/L$23)</f>
        <v>0.1708</v>
      </c>
    </row>
    <row r="16" spans="1:13" ht="15.75" customHeight="1">
      <c r="A16" s="72" t="str">
        <f>'[1]Budget - Yr 1'!A15</f>
        <v>Production Cost of Sales</v>
      </c>
      <c r="B16" s="22">
        <f>'[1]Assumptions'!B223</f>
        <v>37500</v>
      </c>
      <c r="C16" s="22">
        <f>'[1]Assumptions'!C223</f>
        <v>37500</v>
      </c>
      <c r="D16" s="22">
        <f>'[1]Assumptions'!D223</f>
        <v>37500</v>
      </c>
      <c r="E16" s="22">
        <f>'[1]Assumptions'!E223</f>
        <v>37500</v>
      </c>
      <c r="F16" s="23">
        <f>SUM(B16:E16)</f>
        <v>150000</v>
      </c>
      <c r="G16" s="69">
        <f>IF(F$12=0,0,+F16/F$12)</f>
        <v>0.011960768678733753</v>
      </c>
      <c r="H16" s="73">
        <f>'[1]Assumptions'!G223</f>
        <v>37500</v>
      </c>
      <c r="I16" s="73">
        <f>'[1]Assumptions'!H223</f>
        <v>37500</v>
      </c>
      <c r="J16" s="73">
        <f>'[1]Assumptions'!I223</f>
        <v>37500</v>
      </c>
      <c r="K16" s="73">
        <f>'[1]Assumptions'!J223</f>
        <v>37500</v>
      </c>
      <c r="L16" s="74">
        <f>SUM(H16:K16)</f>
        <v>150000</v>
      </c>
      <c r="M16" s="24">
        <f>IF(L$23=0,0,+L16/L$23)</f>
        <v>0.015</v>
      </c>
    </row>
    <row r="17" spans="1:13" ht="15.75" customHeight="1">
      <c r="A17" s="72" t="s">
        <v>55</v>
      </c>
      <c r="B17" s="22">
        <f>'[1]Assumptions'!B224</f>
        <v>734000</v>
      </c>
      <c r="C17" s="22">
        <f>'[1]Assumptions'!C224</f>
        <v>734000</v>
      </c>
      <c r="D17" s="22">
        <f>'[1]Assumptions'!D224</f>
        <v>734000</v>
      </c>
      <c r="E17" s="22">
        <f>'[1]Assumptions'!E224</f>
        <v>734000</v>
      </c>
      <c r="F17" s="23">
        <f>SUM(B17:E17)</f>
        <v>2936000</v>
      </c>
      <c r="G17" s="69">
        <f>IF(F$12=0,0,+F17/F$12)</f>
        <v>0.23411211227174866</v>
      </c>
      <c r="H17" s="73">
        <f>'[1]Assumptions'!G224</f>
        <v>964600</v>
      </c>
      <c r="I17" s="73">
        <f>'[1]Assumptions'!H224</f>
        <v>964600</v>
      </c>
      <c r="J17" s="73">
        <f>'[1]Assumptions'!I224</f>
        <v>964600</v>
      </c>
      <c r="K17" s="73">
        <f>'[1]Assumptions'!J224</f>
        <v>964600</v>
      </c>
      <c r="L17" s="74">
        <f>SUM(H17:K17)</f>
        <v>3858400</v>
      </c>
      <c r="M17" s="24">
        <f>IF(L$23=0,0,+L17/L$23)</f>
        <v>0.38584</v>
      </c>
    </row>
    <row r="18" spans="1:13" ht="16.5" customHeight="1" thickBot="1">
      <c r="A18" s="44" t="s">
        <v>39</v>
      </c>
      <c r="B18" s="45">
        <f>SUM(B15:B17)</f>
        <v>1023500</v>
      </c>
      <c r="C18" s="45">
        <f>SUM(C15:C17)</f>
        <v>1023500</v>
      </c>
      <c r="D18" s="45">
        <f>SUM(D15:D17)</f>
        <v>1023500</v>
      </c>
      <c r="E18" s="75">
        <f>SUM(E15:E17)</f>
        <v>1023500</v>
      </c>
      <c r="F18" s="45">
        <f>SUM(F15:F17)</f>
        <v>4094000</v>
      </c>
      <c r="G18" s="76">
        <f>IF(F$12=0,0,+F18/F$12)</f>
        <v>0.32644924647157325</v>
      </c>
      <c r="H18" s="77">
        <f>SUM(H15:H17)</f>
        <v>1429100</v>
      </c>
      <c r="I18" s="77">
        <f>SUM(I15:I17)</f>
        <v>1429100</v>
      </c>
      <c r="J18" s="77">
        <f>SUM(J15:J17)</f>
        <v>1429100</v>
      </c>
      <c r="K18" s="77">
        <f>SUM(K15:K17)</f>
        <v>1429100</v>
      </c>
      <c r="L18" s="78">
        <f>SUM(L15:L17)</f>
        <v>5716400</v>
      </c>
      <c r="M18" s="47">
        <f>IF(L$23=0,0,+L18/L$23)</f>
        <v>0.57164</v>
      </c>
    </row>
    <row r="19" spans="1:13" s="13" customFormat="1" ht="16.5" customHeight="1" thickTop="1">
      <c r="A19" s="79" t="s">
        <v>31</v>
      </c>
      <c r="B19" s="24">
        <f>IF(B$12=0,0,+B18/B$12)</f>
        <v>0.32644924647157325</v>
      </c>
      <c r="C19" s="24">
        <f>IF(C$12=0,0,+C18/C$12)</f>
        <v>0.32644924647157325</v>
      </c>
      <c r="D19" s="24">
        <f>IF(D$12=0,0,+D18/D$12)</f>
        <v>0.32644924647157325</v>
      </c>
      <c r="E19" s="80">
        <f>IF(E$12=0,0,+E18/E$12)</f>
        <v>0.32644924647157325</v>
      </c>
      <c r="F19" s="24">
        <f>IF(F$12=0,0,+F18/F$12)</f>
        <v>0.32644924647157325</v>
      </c>
      <c r="G19" s="69"/>
      <c r="H19" s="24">
        <f>IF(H$23=0,0,+H18/H$23)</f>
        <v>0.57164</v>
      </c>
      <c r="I19" s="24">
        <f>IF(I$23=0,0,+I18/I$23)</f>
        <v>0.57164</v>
      </c>
      <c r="J19" s="24">
        <f>IF(J$23=0,0,+J18/J$23)</f>
        <v>0.57164</v>
      </c>
      <c r="K19" s="24">
        <f>IF(K$23=0,0,+K18/K$23)</f>
        <v>0.57164</v>
      </c>
      <c r="L19" s="43">
        <f>IF(L$23=0,0,+L18/L$23)</f>
        <v>0.57164</v>
      </c>
      <c r="M19" s="24"/>
    </row>
    <row r="20" spans="5:11" ht="12.75" customHeight="1">
      <c r="E20" s="48"/>
      <c r="G20" s="81"/>
      <c r="K20" s="48"/>
    </row>
    <row r="21" spans="1:13" ht="15.75" customHeight="1">
      <c r="A21" s="82" t="s">
        <v>28</v>
      </c>
      <c r="B21" s="22"/>
      <c r="C21" s="22"/>
      <c r="D21" s="22"/>
      <c r="E21" s="22"/>
      <c r="F21" s="23"/>
      <c r="G21" s="69"/>
      <c r="H21" s="22"/>
      <c r="I21" s="22"/>
      <c r="J21" s="22"/>
      <c r="K21" s="22"/>
      <c r="L21" s="23"/>
      <c r="M21" s="24"/>
    </row>
    <row r="22" spans="1:13" ht="15.75" customHeight="1">
      <c r="A22" s="21" t="str">
        <f>'[1]Assumptions'!A236</f>
        <v>Advertising</v>
      </c>
      <c r="B22" s="22">
        <f>IF('[1]Assumptions'!$B236='[1]Assumptions'!$B$15,0,IF('[1]Assumptions'!$B236='[1]Assumptions'!$B$12,ROUND('[1]Assumptions'!B281,0),IF('[1]Assumptions'!$B236='[1]Assumptions'!$B$13,IF('[1]Assumptions'!$AA236&lt;=0,'[1]Assumptions'!$AB236,ROUND(SUM('[1]Budget - Yr 1'!K21:M21)*(10^(LOG10(1+'[1]Assumptions'!$B250)/4)),0)),IF('[1]Assumptions'!$B236='[1]Assumptions'!$B$14,ROUND('[1]Budget - Yr 1'!M21*3+'[1]Assumptions'!$E236*6,0),'[1]Assumptions'!$Y236))))</f>
        <v>1250000</v>
      </c>
      <c r="C22" s="22">
        <f>IF('[1]Assumptions'!$B236='[1]Assumptions'!$B$15,0,IF('[1]Assumptions'!$B236='[1]Assumptions'!$B$12,ROUND('[1]Assumptions'!C281,0),IF('[1]Assumptions'!$B236='[1]Assumptions'!$B$13,IF('[1]Assumptions'!$AA236&lt;=0,'[1]Assumptions'!$AB236,ROUND(B22*(10^(LOG10(1+'[1]Assumptions'!$B250)/4)),0)),IF('[1]Assumptions'!$B236='[1]Assumptions'!$B$14,ROUND(B22+'[1]Assumptions'!$E236*9,0),'[1]Assumptions'!$Y236))))</f>
        <v>1250000</v>
      </c>
      <c r="D22" s="22">
        <f>IF('[1]Assumptions'!$B236='[1]Assumptions'!$B$15,0,IF('[1]Assumptions'!$B236='[1]Assumptions'!$B$12,ROUND('[1]Assumptions'!D281,0),IF('[1]Assumptions'!$B236='[1]Assumptions'!$B$13,IF('[1]Assumptions'!$AA236&lt;=0,'[1]Assumptions'!$AB236,ROUND(C22*(10^(LOG10(1+'[1]Assumptions'!$B250)/4)),0)),IF('[1]Assumptions'!$B236='[1]Assumptions'!$B$14,ROUND(C22+'[1]Assumptions'!$E236*9,0),'[1]Assumptions'!$Y236))))</f>
        <v>1250000</v>
      </c>
      <c r="E22" s="22">
        <f>IF('[1]Assumptions'!$B236='[1]Assumptions'!$B$15,0,IF('[1]Assumptions'!$B236='[1]Assumptions'!$B$12,ROUND('[1]Assumptions'!E281,0),IF('[1]Assumptions'!$B236='[1]Assumptions'!$B$13,IF('[1]Assumptions'!$AA236&lt;=0,'[1]Assumptions'!$AB236,ROUND(D22*(10^(LOG10(1+'[1]Assumptions'!$B250)/4)),0)),IF('[1]Assumptions'!$B236='[1]Assumptions'!$B$14,ROUND(D22+'[1]Assumptions'!$E236*9,0),'[1]Assumptions'!$Y236))))</f>
        <v>1250000</v>
      </c>
      <c r="F22" s="23">
        <f>SUM(B22:E22)</f>
        <v>5000000</v>
      </c>
      <c r="G22" s="69">
        <f>IF(F$12=0,0,+F22/F$12)</f>
        <v>0.3986922892911251</v>
      </c>
      <c r="H22" s="22">
        <f>IF('[1]Assumptions'!$B236='[1]Assumptions'!$B$15,0,IF('[1]Assumptions'!$B236='[1]Assumptions'!$B$12,ROUND('[1]Assumptions'!G281,0),IF('[1]Assumptions'!$B236='[1]Assumptions'!$B$13,IF('[1]Assumptions'!$AA236&lt;=0,'[1]Assumptions'!$AB236,ROUND(E22*(10^(LOG10(1+'[1]Assumptions'!$C250)/4)),0)),IF('[1]Assumptions'!$B236='[1]Assumptions'!$B$14,ROUND(E22+'[1]Assumptions'!$E236*9,0),'[1]Assumptions'!$Y236))))</f>
        <v>2500000</v>
      </c>
      <c r="I22" s="22">
        <f>IF('[1]Assumptions'!$B236='[1]Assumptions'!$B$15,0,IF('[1]Assumptions'!$B236='[1]Assumptions'!$B$12,ROUND('[1]Assumptions'!H281,0),IF('[1]Assumptions'!$B236='[1]Assumptions'!$B$13,IF('[1]Assumptions'!$AA236&lt;=0,'[1]Assumptions'!$AB236,ROUND(H22*(10^(LOG10(1+'[1]Assumptions'!$C250)/4)),0)),IF('[1]Assumptions'!$B236='[1]Assumptions'!$B$14,ROUND(H22+'[1]Assumptions'!$E236*9,0),'[1]Assumptions'!$Y236))))</f>
        <v>2500000</v>
      </c>
      <c r="J22" s="22">
        <f>IF('[1]Assumptions'!$B236='[1]Assumptions'!$B$15,0,IF('[1]Assumptions'!$B236='[1]Assumptions'!$B$12,ROUND('[1]Assumptions'!I281,0),IF('[1]Assumptions'!$B236='[1]Assumptions'!$B$13,IF('[1]Assumptions'!$AA236&lt;=0,'[1]Assumptions'!$AB236,ROUND(I22*(10^(LOG10(1+'[1]Assumptions'!$C250)/4)),0)),IF('[1]Assumptions'!$B236='[1]Assumptions'!$B$14,ROUND(I22+'[1]Assumptions'!$E236*9,0),'[1]Assumptions'!$Y236))))</f>
        <v>2500000</v>
      </c>
      <c r="K22" s="22">
        <f>IF('[1]Assumptions'!$B236='[1]Assumptions'!$B$15,0,IF('[1]Assumptions'!$B236='[1]Assumptions'!$B$12,ROUND('[1]Assumptions'!J281,0),IF('[1]Assumptions'!$B236='[1]Assumptions'!$B$13,IF('[1]Assumptions'!$AA236&lt;=0,'[1]Assumptions'!$AB236,ROUND(J22*(10^(LOG10(1+'[1]Assumptions'!$C250)/4)),0)),IF('[1]Assumptions'!$B236='[1]Assumptions'!$B$14,ROUND(J22+'[1]Assumptions'!$E236*9,0),'[1]Assumptions'!$Y236))))</f>
        <v>2500000</v>
      </c>
      <c r="L22" s="23">
        <f>SUM(H22:K22)</f>
        <v>10000000</v>
      </c>
      <c r="M22" s="24">
        <f>IF(L$12=0,0,+L22/L$12)</f>
        <v>0.3785297902944962</v>
      </c>
    </row>
    <row r="23" spans="1:13" ht="16.5" customHeight="1" thickBot="1">
      <c r="A23" s="44" t="s">
        <v>30</v>
      </c>
      <c r="B23" s="45">
        <f>SUM(B$22:B$22)</f>
        <v>1250000</v>
      </c>
      <c r="C23" s="45">
        <f>SUM(C$22:C$22)</f>
        <v>1250000</v>
      </c>
      <c r="D23" s="45">
        <f>SUM(D$22:D$22)</f>
        <v>1250000</v>
      </c>
      <c r="E23" s="45">
        <f>SUM(E$22:E$22)</f>
        <v>1250000</v>
      </c>
      <c r="F23" s="46">
        <f>SUM(F$22:F$22)</f>
        <v>5000000</v>
      </c>
      <c r="G23" s="70">
        <f>IF(F$12=0,0,+F23/F$12)</f>
        <v>0.3986922892911251</v>
      </c>
      <c r="H23" s="45">
        <f>SUM(H$22:H$22)</f>
        <v>2500000</v>
      </c>
      <c r="I23" s="45">
        <f>SUM(I$22:I$22)</f>
        <v>2500000</v>
      </c>
      <c r="J23" s="45">
        <f>SUM(J$22:J$22)</f>
        <v>2500000</v>
      </c>
      <c r="K23" s="45">
        <f>SUM(K$22:K$22)</f>
        <v>2500000</v>
      </c>
      <c r="L23" s="46">
        <f>SUM(L$22:L$22)</f>
        <v>10000000</v>
      </c>
      <c r="M23" s="47">
        <f>IF(L$12=0,0,+L23/L$12)</f>
        <v>0.3785297902944962</v>
      </c>
    </row>
    <row r="24" spans="1:13" s="13" customFormat="1" ht="16.5" customHeight="1" thickTop="1">
      <c r="A24" s="79" t="s">
        <v>31</v>
      </c>
      <c r="B24" s="24">
        <f>IF(B$12=0,0,+B23/B$12)</f>
        <v>0.3986922892911251</v>
      </c>
      <c r="C24" s="24">
        <f>IF(C$12=0,0,+C23/C$12)</f>
        <v>0.3986922892911251</v>
      </c>
      <c r="D24" s="24">
        <f>IF(D$12=0,0,+D23/D$12)</f>
        <v>0.3986922892911251</v>
      </c>
      <c r="E24" s="24">
        <f>IF(E$12=0,0,+E23/E$12)</f>
        <v>0.3986922892911251</v>
      </c>
      <c r="F24" s="43">
        <f>IF(F$12=0,0,+F23/F$12)</f>
        <v>0.3986922892911251</v>
      </c>
      <c r="G24" s="69"/>
      <c r="H24" s="24">
        <f>IF(H$12=0,0,+H23/H$12)</f>
        <v>0.3785297902944962</v>
      </c>
      <c r="I24" s="24">
        <f>IF(I$12=0,0,+I23/I$12)</f>
        <v>0.3785297902944962</v>
      </c>
      <c r="J24" s="24">
        <f>IF(J$12=0,0,+J23/J$12)</f>
        <v>0.3785297902944962</v>
      </c>
      <c r="K24" s="24">
        <f>IF(K$12=0,0,+K23/K$12)</f>
        <v>0.3785297902944962</v>
      </c>
      <c r="L24" s="43">
        <f>IF(L$12=0,0,+L23/L$12)</f>
        <v>0.3785297902944962</v>
      </c>
      <c r="M24" s="24"/>
    </row>
    <row r="25" spans="1:13" ht="15.75" customHeight="1">
      <c r="A25" s="21"/>
      <c r="B25" s="22"/>
      <c r="C25" s="22"/>
      <c r="D25" s="22"/>
      <c r="E25" s="22"/>
      <c r="F25" s="23"/>
      <c r="G25" s="69"/>
      <c r="H25" s="22"/>
      <c r="I25" s="22"/>
      <c r="J25" s="22"/>
      <c r="K25" s="22"/>
      <c r="L25" s="23"/>
      <c r="M25" s="24"/>
    </row>
    <row r="26" spans="1:13" ht="15.75" customHeight="1">
      <c r="A26" s="21"/>
      <c r="B26" s="22"/>
      <c r="C26" s="22"/>
      <c r="D26" s="22"/>
      <c r="E26" s="22"/>
      <c r="F26" s="23"/>
      <c r="G26" s="69"/>
      <c r="H26" s="22"/>
      <c r="I26" s="22"/>
      <c r="J26" s="22"/>
      <c r="K26" s="22"/>
      <c r="L26" s="23"/>
      <c r="M26" s="24"/>
    </row>
    <row r="27" spans="1:13" ht="15.75" customHeight="1">
      <c r="A27" s="49" t="str">
        <f>'[1]Assumptions'!$A$337</f>
        <v>General &amp; Administrative</v>
      </c>
      <c r="B27" s="22"/>
      <c r="C27" s="22"/>
      <c r="D27" s="22"/>
      <c r="E27" s="22"/>
      <c r="F27" s="23"/>
      <c r="G27" s="69"/>
      <c r="H27" s="22"/>
      <c r="I27" s="22"/>
      <c r="J27" s="22"/>
      <c r="K27" s="22"/>
      <c r="L27" s="23"/>
      <c r="M27" s="24"/>
    </row>
    <row r="28" spans="1:13" ht="15.75" customHeight="1">
      <c r="A28" s="21" t="str">
        <f>'[1]Assumptions'!A377</f>
        <v>Salary Payroll</v>
      </c>
      <c r="B28" s="22">
        <f>'[1]Assumptions'!B395</f>
        <v>415000</v>
      </c>
      <c r="C28" s="22">
        <f>'[1]Assumptions'!C395</f>
        <v>415000</v>
      </c>
      <c r="D28" s="22">
        <f>'[1]Assumptions'!D395</f>
        <v>415000</v>
      </c>
      <c r="E28" s="22">
        <f>'[1]Assumptions'!E395</f>
        <v>415000</v>
      </c>
      <c r="F28" s="23">
        <f>SUM(B28:E28)</f>
        <v>1660000</v>
      </c>
      <c r="G28" s="69">
        <f>IF(F$12=0,0,+F28/F$12)</f>
        <v>0.13236584004465354</v>
      </c>
      <c r="H28" s="22">
        <f>'[1]Assumptions'!G395</f>
        <v>636250</v>
      </c>
      <c r="I28" s="22">
        <f>'[1]Assumptions'!H395</f>
        <v>636250</v>
      </c>
      <c r="J28" s="22">
        <f>'[1]Assumptions'!I395</f>
        <v>636250</v>
      </c>
      <c r="K28" s="22">
        <f>'[1]Assumptions'!J395</f>
        <v>636250</v>
      </c>
      <c r="L28" s="23">
        <f aca="true" t="shared" si="3" ref="L28:L41">SUM(H28:K28)</f>
        <v>2545000</v>
      </c>
      <c r="M28" s="24">
        <f aca="true" t="shared" si="4" ref="M28:M42">IF(L$12=0,0,+L28/L$12)</f>
        <v>0.09633583162994927</v>
      </c>
    </row>
    <row r="29" spans="1:13" ht="15.75" customHeight="1">
      <c r="A29" s="21" t="str">
        <f>'[1]Assumptions'!A378</f>
        <v>Fringe Benefits (20% of Salaries)</v>
      </c>
      <c r="B29" s="22">
        <f>'[1]Assumptions'!B396</f>
        <v>83000</v>
      </c>
      <c r="C29" s="22">
        <f>'[1]Assumptions'!C396</f>
        <v>83000</v>
      </c>
      <c r="D29" s="22">
        <f>'[1]Assumptions'!D396</f>
        <v>83000</v>
      </c>
      <c r="E29" s="22">
        <f>'[1]Assumptions'!E396</f>
        <v>83000</v>
      </c>
      <c r="F29" s="23">
        <f aca="true" t="shared" si="5" ref="F29:F41">SUM(B29:E29)</f>
        <v>332000</v>
      </c>
      <c r="G29" s="69">
        <f>IF(F$12=0,0,+F29/F$12)</f>
        <v>0.02647316800893071</v>
      </c>
      <c r="H29" s="22">
        <f>'[1]Assumptions'!G396</f>
        <v>127250</v>
      </c>
      <c r="I29" s="22">
        <f>'[1]Assumptions'!H396</f>
        <v>127250</v>
      </c>
      <c r="J29" s="22">
        <f>'[1]Assumptions'!I396</f>
        <v>127250</v>
      </c>
      <c r="K29" s="22">
        <f>'[1]Assumptions'!J396</f>
        <v>127250</v>
      </c>
      <c r="L29" s="23">
        <f t="shared" si="3"/>
        <v>509000</v>
      </c>
      <c r="M29" s="24">
        <f t="shared" si="4"/>
        <v>0.019267166325989855</v>
      </c>
    </row>
    <row r="30" spans="1:13" ht="15.75" customHeight="1">
      <c r="A30" s="21" t="str">
        <f>'[1]Assumptions'!A379</f>
        <v>Bonuses (20% of salaries)</v>
      </c>
      <c r="B30" s="22">
        <f>'[1]Assumptions'!B397</f>
        <v>83000</v>
      </c>
      <c r="C30" s="22">
        <f>'[1]Assumptions'!C397</f>
        <v>83000</v>
      </c>
      <c r="D30" s="22">
        <f>'[1]Assumptions'!D397</f>
        <v>83000</v>
      </c>
      <c r="E30" s="22">
        <f>'[1]Assumptions'!E397</f>
        <v>83000</v>
      </c>
      <c r="F30" s="23">
        <f t="shared" si="5"/>
        <v>332000</v>
      </c>
      <c r="G30" s="69">
        <f aca="true" t="shared" si="6" ref="G30:G41">IF(F$12=0,0,+F30/F$12)</f>
        <v>0.02647316800893071</v>
      </c>
      <c r="H30" s="22">
        <f>'[1]Assumptions'!G397</f>
        <v>127250</v>
      </c>
      <c r="I30" s="22">
        <f>'[1]Assumptions'!H397</f>
        <v>127250</v>
      </c>
      <c r="J30" s="22">
        <f>'[1]Assumptions'!I397</f>
        <v>127250</v>
      </c>
      <c r="K30" s="22">
        <f>'[1]Assumptions'!J397</f>
        <v>127250</v>
      </c>
      <c r="L30" s="23">
        <f t="shared" si="3"/>
        <v>509000</v>
      </c>
      <c r="M30" s="24">
        <f t="shared" si="4"/>
        <v>0.019267166325989855</v>
      </c>
    </row>
    <row r="31" spans="1:13" ht="15.75" customHeight="1">
      <c r="A31" s="21" t="str">
        <f>'[1]Assumptions'!A380</f>
        <v>Travel &amp; Entertainment</v>
      </c>
      <c r="B31" s="22">
        <f>'[1]Assumptions'!B398</f>
        <v>21000</v>
      </c>
      <c r="C31" s="22">
        <f>'[1]Assumptions'!C398</f>
        <v>21000</v>
      </c>
      <c r="D31" s="22">
        <f>'[1]Assumptions'!D398</f>
        <v>21000</v>
      </c>
      <c r="E31" s="22">
        <f>'[1]Assumptions'!E398</f>
        <v>21000</v>
      </c>
      <c r="F31" s="23">
        <f t="shared" si="5"/>
        <v>84000</v>
      </c>
      <c r="G31" s="69">
        <f t="shared" si="6"/>
        <v>0.006698030460090902</v>
      </c>
      <c r="H31" s="22">
        <f>'[1]Assumptions'!G398</f>
        <v>21000</v>
      </c>
      <c r="I31" s="22">
        <f>'[1]Assumptions'!H398</f>
        <v>21000</v>
      </c>
      <c r="J31" s="22">
        <f>'[1]Assumptions'!I398</f>
        <v>21000</v>
      </c>
      <c r="K31" s="22">
        <f>'[1]Assumptions'!J398</f>
        <v>21000</v>
      </c>
      <c r="L31" s="23">
        <f t="shared" si="3"/>
        <v>84000</v>
      </c>
      <c r="M31" s="24">
        <f t="shared" si="4"/>
        <v>0.003179650238473768</v>
      </c>
    </row>
    <row r="32" spans="1:13" ht="15.75" customHeight="1">
      <c r="A32" s="21" t="str">
        <f>'[1]Assumptions'!A381</f>
        <v>Co-Location Network Costs</v>
      </c>
      <c r="B32" s="22">
        <f>'[1]Assumptions'!B399</f>
        <v>62500</v>
      </c>
      <c r="C32" s="22">
        <f>'[1]Assumptions'!C399</f>
        <v>62500</v>
      </c>
      <c r="D32" s="22">
        <f>'[1]Assumptions'!D399</f>
        <v>62500</v>
      </c>
      <c r="E32" s="22">
        <f>'[1]Assumptions'!E399</f>
        <v>62500</v>
      </c>
      <c r="F32" s="23">
        <f t="shared" si="5"/>
        <v>250000</v>
      </c>
      <c r="G32" s="69">
        <f t="shared" si="6"/>
        <v>0.019934614464556254</v>
      </c>
      <c r="H32" s="22">
        <f>'[1]Assumptions'!G399</f>
        <v>125000</v>
      </c>
      <c r="I32" s="22">
        <f>'[1]Assumptions'!H399</f>
        <v>125000</v>
      </c>
      <c r="J32" s="22">
        <f>'[1]Assumptions'!I399</f>
        <v>125000</v>
      </c>
      <c r="K32" s="22">
        <f>'[1]Assumptions'!J399</f>
        <v>125000</v>
      </c>
      <c r="L32" s="23">
        <f t="shared" si="3"/>
        <v>500000</v>
      </c>
      <c r="M32" s="24">
        <f t="shared" si="4"/>
        <v>0.01892648951472481</v>
      </c>
    </row>
    <row r="33" spans="1:13" ht="15.75" customHeight="1">
      <c r="A33" s="21" t="str">
        <f>'[1]Assumptions'!A382</f>
        <v>Legal &amp; Consulting Fees</v>
      </c>
      <c r="B33" s="22">
        <f>'[1]Assumptions'!B400</f>
        <v>40000</v>
      </c>
      <c r="C33" s="22">
        <f>'[1]Assumptions'!C400</f>
        <v>40000</v>
      </c>
      <c r="D33" s="22">
        <f>'[1]Assumptions'!D400</f>
        <v>40000</v>
      </c>
      <c r="E33" s="22">
        <f>'[1]Assumptions'!E400</f>
        <v>40000</v>
      </c>
      <c r="F33" s="23">
        <f t="shared" si="5"/>
        <v>160000</v>
      </c>
      <c r="G33" s="69">
        <f t="shared" si="6"/>
        <v>0.012758153257316003</v>
      </c>
      <c r="H33" s="22">
        <f>'[1]Assumptions'!G400</f>
        <v>50000</v>
      </c>
      <c r="I33" s="22">
        <f>'[1]Assumptions'!H400</f>
        <v>50000</v>
      </c>
      <c r="J33" s="22">
        <f>'[1]Assumptions'!I400</f>
        <v>50000</v>
      </c>
      <c r="K33" s="22">
        <f>'[1]Assumptions'!J400</f>
        <v>50000</v>
      </c>
      <c r="L33" s="23">
        <f t="shared" si="3"/>
        <v>200000</v>
      </c>
      <c r="M33" s="24">
        <f t="shared" si="4"/>
        <v>0.007570595805889924</v>
      </c>
    </row>
    <row r="34" spans="1:13" ht="15.75" customHeight="1">
      <c r="A34" s="21" t="str">
        <f>'[1]Assumptions'!A383</f>
        <v>Leases - Copier               </v>
      </c>
      <c r="B34" s="22">
        <f>'[1]Assumptions'!B401</f>
        <v>997.51</v>
      </c>
      <c r="C34" s="22">
        <f>'[1]Assumptions'!C401</f>
        <v>997.51</v>
      </c>
      <c r="D34" s="22">
        <f>'[1]Assumptions'!D401</f>
        <v>997.51</v>
      </c>
      <c r="E34" s="22">
        <f>'[1]Assumptions'!E401</f>
        <v>997.51</v>
      </c>
      <c r="F34" s="23">
        <f t="shared" si="5"/>
        <v>3990.04</v>
      </c>
      <c r="G34" s="69">
        <f t="shared" si="6"/>
        <v>0.00031815963639263216</v>
      </c>
      <c r="H34" s="22">
        <f>'[1]Assumptions'!G401</f>
        <v>997.51</v>
      </c>
      <c r="I34" s="22">
        <f>'[1]Assumptions'!H401</f>
        <v>997.51</v>
      </c>
      <c r="J34" s="22">
        <f>'[1]Assumptions'!I401</f>
        <v>997.51</v>
      </c>
      <c r="K34" s="22">
        <f>'[1]Assumptions'!J401</f>
        <v>997.51</v>
      </c>
      <c r="L34" s="23">
        <f t="shared" si="3"/>
        <v>3990.04</v>
      </c>
      <c r="M34" s="24">
        <f t="shared" si="4"/>
        <v>0.00015103490044666515</v>
      </c>
    </row>
    <row r="35" spans="1:13" ht="15.75" customHeight="1">
      <c r="A35" s="21" t="str">
        <f>'[1]Assumptions'!A384</f>
        <v>Lease  - Telephone            </v>
      </c>
      <c r="B35" s="22">
        <f>'[1]Assumptions'!B402</f>
        <v>4882.3</v>
      </c>
      <c r="C35" s="22">
        <f>'[1]Assumptions'!C402</f>
        <v>4882.3</v>
      </c>
      <c r="D35" s="22">
        <f>'[1]Assumptions'!D402</f>
        <v>4882.3</v>
      </c>
      <c r="E35" s="22">
        <f>'[1]Assumptions'!E402</f>
        <v>4882.3</v>
      </c>
      <c r="F35" s="23">
        <f t="shared" si="5"/>
        <v>19529.2</v>
      </c>
      <c r="G35" s="69">
        <f t="shared" si="6"/>
        <v>0.0015572282912048481</v>
      </c>
      <c r="H35" s="22">
        <f>'[1]Assumptions'!G402</f>
        <v>4882.3</v>
      </c>
      <c r="I35" s="22">
        <f>'[1]Assumptions'!H402</f>
        <v>4882.3</v>
      </c>
      <c r="J35" s="22">
        <f>'[1]Assumptions'!I402</f>
        <v>4882.3</v>
      </c>
      <c r="K35" s="22">
        <f>'[1]Assumptions'!J402</f>
        <v>4882.3</v>
      </c>
      <c r="L35" s="23">
        <f t="shared" si="3"/>
        <v>19529.2</v>
      </c>
      <c r="M35" s="24">
        <f t="shared" si="4"/>
        <v>0.0007392383980619275</v>
      </c>
    </row>
    <row r="36" spans="1:13" ht="15.75" customHeight="1">
      <c r="A36" s="21" t="str">
        <f>'[1]Assumptions'!A385</f>
        <v>Office Internet access</v>
      </c>
      <c r="B36" s="22">
        <f>'[1]Assumptions'!B403</f>
        <v>2500</v>
      </c>
      <c r="C36" s="22">
        <f>'[1]Assumptions'!C403</f>
        <v>2500</v>
      </c>
      <c r="D36" s="22">
        <f>'[1]Assumptions'!D403</f>
        <v>2500</v>
      </c>
      <c r="E36" s="22">
        <f>'[1]Assumptions'!E403</f>
        <v>2500</v>
      </c>
      <c r="F36" s="23">
        <f t="shared" si="5"/>
        <v>10000</v>
      </c>
      <c r="G36" s="69">
        <f t="shared" si="6"/>
        <v>0.0007973845785822502</v>
      </c>
      <c r="H36" s="22">
        <f>'[1]Assumptions'!G403</f>
        <v>4000</v>
      </c>
      <c r="I36" s="22">
        <f>'[1]Assumptions'!H403</f>
        <v>4000</v>
      </c>
      <c r="J36" s="22">
        <f>'[1]Assumptions'!I403</f>
        <v>4000</v>
      </c>
      <c r="K36" s="22">
        <f>'[1]Assumptions'!J403</f>
        <v>4000</v>
      </c>
      <c r="L36" s="23">
        <f t="shared" si="3"/>
        <v>16000</v>
      </c>
      <c r="M36" s="24">
        <f t="shared" si="4"/>
        <v>0.0006056476644711938</v>
      </c>
    </row>
    <row r="37" spans="1:13" ht="15.75" customHeight="1">
      <c r="A37" s="21" t="str">
        <f>'[1]Assumptions'!A386</f>
        <v>Postage &amp; Delivery            </v>
      </c>
      <c r="B37" s="22">
        <f>'[1]Assumptions'!B404</f>
        <v>6000</v>
      </c>
      <c r="C37" s="22">
        <f>'[1]Assumptions'!C404</f>
        <v>6000</v>
      </c>
      <c r="D37" s="22">
        <f>'[1]Assumptions'!D404</f>
        <v>6000</v>
      </c>
      <c r="E37" s="22">
        <f>'[1]Assumptions'!E404</f>
        <v>6000</v>
      </c>
      <c r="F37" s="23">
        <f t="shared" si="5"/>
        <v>24000</v>
      </c>
      <c r="G37" s="69">
        <f t="shared" si="6"/>
        <v>0.0019137229885974004</v>
      </c>
      <c r="H37" s="22">
        <f>'[1]Assumptions'!G404</f>
        <v>6000</v>
      </c>
      <c r="I37" s="22">
        <f>'[1]Assumptions'!H404</f>
        <v>6000</v>
      </c>
      <c r="J37" s="22">
        <f>'[1]Assumptions'!I404</f>
        <v>6000</v>
      </c>
      <c r="K37" s="22">
        <f>'[1]Assumptions'!J404</f>
        <v>6000</v>
      </c>
      <c r="L37" s="23">
        <f t="shared" si="3"/>
        <v>24000</v>
      </c>
      <c r="M37" s="24">
        <f t="shared" si="4"/>
        <v>0.0009084714967067908</v>
      </c>
    </row>
    <row r="38" spans="1:13" ht="15.75" customHeight="1">
      <c r="A38" s="21" t="str">
        <f>'[1]Assumptions'!A387</f>
        <v>Rent Expense                  </v>
      </c>
      <c r="B38" s="22">
        <f>'[1]Assumptions'!B405</f>
        <v>18900</v>
      </c>
      <c r="C38" s="22">
        <f>'[1]Assumptions'!C405</f>
        <v>18900</v>
      </c>
      <c r="D38" s="22">
        <f>'[1]Assumptions'!D405</f>
        <v>18900</v>
      </c>
      <c r="E38" s="22">
        <f>'[1]Assumptions'!E405</f>
        <v>18900</v>
      </c>
      <c r="F38" s="23">
        <f t="shared" si="5"/>
        <v>75600</v>
      </c>
      <c r="G38" s="69">
        <f t="shared" si="6"/>
        <v>0.006028227414081812</v>
      </c>
      <c r="H38" s="22">
        <f>'[1]Assumptions'!G405</f>
        <v>45000</v>
      </c>
      <c r="I38" s="22">
        <f>'[1]Assumptions'!H405</f>
        <v>45000</v>
      </c>
      <c r="J38" s="22">
        <f>'[1]Assumptions'!I405</f>
        <v>45000</v>
      </c>
      <c r="K38" s="22">
        <f>'[1]Assumptions'!J405</f>
        <v>45000</v>
      </c>
      <c r="L38" s="23">
        <f t="shared" si="3"/>
        <v>180000</v>
      </c>
      <c r="M38" s="24">
        <f t="shared" si="4"/>
        <v>0.006813536225300931</v>
      </c>
    </row>
    <row r="39" spans="1:13" ht="15.75" customHeight="1">
      <c r="A39" s="21" t="str">
        <f>'[1]Assumptions'!A388</f>
        <v>Utilities                     </v>
      </c>
      <c r="B39" s="22">
        <f>'[1]Assumptions'!B406</f>
        <v>1000</v>
      </c>
      <c r="C39" s="22">
        <f>'[1]Assumptions'!C406</f>
        <v>1000</v>
      </c>
      <c r="D39" s="22">
        <f>'[1]Assumptions'!D406</f>
        <v>1000</v>
      </c>
      <c r="E39" s="22">
        <f>'[1]Assumptions'!E406</f>
        <v>1000</v>
      </c>
      <c r="F39" s="23">
        <f t="shared" si="5"/>
        <v>4000</v>
      </c>
      <c r="G39" s="69">
        <f t="shared" si="6"/>
        <v>0.0003189538314329001</v>
      </c>
      <c r="H39" s="22">
        <f>'[1]Assumptions'!G406</f>
        <v>2000</v>
      </c>
      <c r="I39" s="22">
        <f>'[1]Assumptions'!H406</f>
        <v>2000</v>
      </c>
      <c r="J39" s="22">
        <f>'[1]Assumptions'!I406</f>
        <v>2000</v>
      </c>
      <c r="K39" s="22">
        <f>'[1]Assumptions'!J406</f>
        <v>2000</v>
      </c>
      <c r="L39" s="23">
        <f t="shared" si="3"/>
        <v>8000</v>
      </c>
      <c r="M39" s="24">
        <f t="shared" si="4"/>
        <v>0.0003028238322355969</v>
      </c>
    </row>
    <row r="40" spans="1:13" ht="15.75" customHeight="1">
      <c r="A40" s="21" t="str">
        <f>'[1]Assumptions'!A389</f>
        <v>Miscellaneous</v>
      </c>
      <c r="B40" s="22">
        <f>'[1]Assumptions'!B407</f>
        <v>40000</v>
      </c>
      <c r="C40" s="22">
        <f>'[1]Assumptions'!C407</f>
        <v>40000</v>
      </c>
      <c r="D40" s="22">
        <f>'[1]Assumptions'!D407</f>
        <v>40000</v>
      </c>
      <c r="E40" s="22">
        <f>'[1]Assumptions'!E407</f>
        <v>40000</v>
      </c>
      <c r="F40" s="23">
        <f t="shared" si="5"/>
        <v>160000</v>
      </c>
      <c r="G40" s="69">
        <f t="shared" si="6"/>
        <v>0.012758153257316003</v>
      </c>
      <c r="H40" s="22">
        <f>'[1]Assumptions'!G407</f>
        <v>60000</v>
      </c>
      <c r="I40" s="22">
        <f>'[1]Assumptions'!H407</f>
        <v>60000</v>
      </c>
      <c r="J40" s="22">
        <f>'[1]Assumptions'!I407</f>
        <v>60000</v>
      </c>
      <c r="K40" s="22">
        <f>'[1]Assumptions'!J407</f>
        <v>60000</v>
      </c>
      <c r="L40" s="23">
        <f t="shared" si="3"/>
        <v>240000</v>
      </c>
      <c r="M40" s="24">
        <f t="shared" si="4"/>
        <v>0.009084714967067909</v>
      </c>
    </row>
    <row r="41" spans="1:13" ht="15.75" customHeight="1">
      <c r="A41" s="21" t="s">
        <v>51</v>
      </c>
      <c r="B41" s="22">
        <v>25000</v>
      </c>
      <c r="C41" s="22">
        <v>25000</v>
      </c>
      <c r="D41" s="22">
        <f>'[1]Assumptions'!D408</f>
        <v>25000</v>
      </c>
      <c r="E41" s="22">
        <v>25000</v>
      </c>
      <c r="F41" s="23">
        <f t="shared" si="5"/>
        <v>100000</v>
      </c>
      <c r="G41" s="69">
        <f t="shared" si="6"/>
        <v>0.007973845785822503</v>
      </c>
      <c r="H41" s="22">
        <v>100000</v>
      </c>
      <c r="I41" s="22">
        <v>100000</v>
      </c>
      <c r="J41" s="22">
        <v>100000</v>
      </c>
      <c r="K41" s="22">
        <v>100000</v>
      </c>
      <c r="L41" s="23">
        <f t="shared" si="3"/>
        <v>400000</v>
      </c>
      <c r="M41" s="24">
        <f t="shared" si="4"/>
        <v>0.015141191611779847</v>
      </c>
    </row>
    <row r="42" spans="1:13" ht="16.5" customHeight="1" thickBot="1">
      <c r="A42" s="44" t="s">
        <v>33</v>
      </c>
      <c r="B42" s="45">
        <f>SUM(B$28:B$41)</f>
        <v>803779.81</v>
      </c>
      <c r="C42" s="45">
        <f>SUM(C$28:C$41)</f>
        <v>803779.81</v>
      </c>
      <c r="D42" s="45">
        <f>SUM(D$28:D$41)</f>
        <v>803779.81</v>
      </c>
      <c r="E42" s="75">
        <f>SUM(E$28:E$41)</f>
        <v>803779.81</v>
      </c>
      <c r="F42" s="45">
        <f>SUM(F$28:F$41)</f>
        <v>3215119.24</v>
      </c>
      <c r="G42" s="70">
        <f>SUM(G28:G41)</f>
        <v>0.2563686500279085</v>
      </c>
      <c r="H42" s="45">
        <f>SUM(H$28:H$41)</f>
        <v>1309629.81</v>
      </c>
      <c r="I42" s="45">
        <f>SUM(I$28:I$41)</f>
        <v>1309629.81</v>
      </c>
      <c r="J42" s="45">
        <f>SUM(J$28:J$41)</f>
        <v>1309629.81</v>
      </c>
      <c r="K42" s="75">
        <f>SUM(K$28:K$41)</f>
        <v>1309629.81</v>
      </c>
      <c r="L42" s="45">
        <f>SUM(L$28:L$41)</f>
        <v>5238519.24</v>
      </c>
      <c r="M42" s="47">
        <f t="shared" si="4"/>
        <v>0.19829355893708836</v>
      </c>
    </row>
    <row r="43" spans="1:13" s="13" customFormat="1" ht="16.5" customHeight="1" thickTop="1">
      <c r="A43" s="79" t="s">
        <v>31</v>
      </c>
      <c r="B43" s="24">
        <f>IF(B$12=0,0,+B42/B$12)</f>
        <v>0.2563686500279085</v>
      </c>
      <c r="C43" s="24">
        <f>IF(C$12=0,0,+C42/C$12)</f>
        <v>0.2563686500279085</v>
      </c>
      <c r="D43" s="24">
        <f>IF(D$12=0,0,+D42/D$12)</f>
        <v>0.2563686500279085</v>
      </c>
      <c r="E43" s="24">
        <f>IF(E$12=0,0,+E42/E$12)</f>
        <v>0.2563686500279085</v>
      </c>
      <c r="F43" s="43">
        <f>IF(F$12=0,0,+F42/F$12)</f>
        <v>0.2563686500279085</v>
      </c>
      <c r="G43" s="69"/>
      <c r="H43" s="24">
        <f>IF(H$12=0,0,+H42/H$12)</f>
        <v>0.19829355893708836</v>
      </c>
      <c r="I43" s="24">
        <f>IF(I$12=0,0,+I42/I$12)</f>
        <v>0.19829355893708836</v>
      </c>
      <c r="J43" s="24">
        <f>IF(J$12=0,0,+J42/J$12)</f>
        <v>0.19829355893708836</v>
      </c>
      <c r="K43" s="24">
        <f>IF(K$12=0,0,+K42/K$12)</f>
        <v>0.19829355893708836</v>
      </c>
      <c r="L43" s="43">
        <f>IF(L$12=0,0,+L42/L$12)</f>
        <v>0.19829355893708836</v>
      </c>
      <c r="M43" s="24"/>
    </row>
    <row r="44" spans="1:13" ht="15.75" customHeight="1">
      <c r="A44" s="21"/>
      <c r="B44" s="22"/>
      <c r="C44" s="22"/>
      <c r="D44" s="22"/>
      <c r="E44" s="22"/>
      <c r="F44" s="23"/>
      <c r="G44" s="69"/>
      <c r="H44" s="22"/>
      <c r="I44" s="22"/>
      <c r="J44" s="22"/>
      <c r="K44" s="22"/>
      <c r="L44" s="23"/>
      <c r="M44" s="24"/>
    </row>
    <row r="45" spans="1:13" ht="15.75" customHeight="1">
      <c r="A45" s="21"/>
      <c r="B45" s="22"/>
      <c r="C45" s="22"/>
      <c r="D45" s="22"/>
      <c r="E45" s="22"/>
      <c r="F45" s="23"/>
      <c r="G45" s="69"/>
      <c r="H45" s="22"/>
      <c r="I45" s="22"/>
      <c r="J45" s="22"/>
      <c r="K45" s="22"/>
      <c r="L45" s="23"/>
      <c r="M45" s="24"/>
    </row>
    <row r="46" spans="1:13" ht="16.5" customHeight="1" thickBot="1">
      <c r="A46" s="52" t="s">
        <v>34</v>
      </c>
      <c r="B46" s="53">
        <f>B12-B42-B18-B23</f>
        <v>57970.189999999944</v>
      </c>
      <c r="C46" s="53">
        <f>C12-C42-C18-C23</f>
        <v>57970.189999999944</v>
      </c>
      <c r="D46" s="53">
        <f>D12-D42-D18-D23</f>
        <v>57970.189999999944</v>
      </c>
      <c r="E46" s="53">
        <f>E12-E42-E18-E23</f>
        <v>57970.189999999944</v>
      </c>
      <c r="F46" s="51">
        <f>SUM(B46:E46)</f>
        <v>231880.75999999978</v>
      </c>
      <c r="G46" s="76">
        <f>IF(F$12=0,0,+F46/F$12)</f>
        <v>0.018489814209393173</v>
      </c>
      <c r="H46" s="53">
        <f>H12-H42-H18-H23</f>
        <v>1365770.1899999995</v>
      </c>
      <c r="I46" s="53">
        <f>I12-I42-I18-I23</f>
        <v>1365770.1899999995</v>
      </c>
      <c r="J46" s="53">
        <f>J12-J42-J18-J23</f>
        <v>1365770.1899999995</v>
      </c>
      <c r="K46" s="53">
        <f>K12-K42-K18-K23</f>
        <v>1365770.1899999995</v>
      </c>
      <c r="L46" s="51">
        <f>SUM(H46:K46)</f>
        <v>5463080.759999998</v>
      </c>
      <c r="M46" s="54">
        <f>IF(L$12=0,0,+L46/L$12)</f>
        <v>0.2067938814444696</v>
      </c>
    </row>
    <row r="47" spans="1:13" ht="16.5" customHeight="1" thickTop="1">
      <c r="A47" s="55" t="s">
        <v>35</v>
      </c>
      <c r="B47" s="22">
        <f>0.4*B46</f>
        <v>23188.07599999998</v>
      </c>
      <c r="C47" s="22">
        <f>0.4*C46</f>
        <v>23188.07599999998</v>
      </c>
      <c r="D47" s="22">
        <f>0.4*D46</f>
        <v>23188.07599999998</v>
      </c>
      <c r="E47" s="22">
        <f>0.4*E46</f>
        <v>23188.07599999998</v>
      </c>
      <c r="F47" s="23">
        <f>ROUND(F46*VLOOKUP(F46,TAXRATE,2),0)</f>
        <v>92752</v>
      </c>
      <c r="G47" s="69">
        <f>IF(F$12=0,0,+F47/F$12)</f>
        <v>0.007395901443266087</v>
      </c>
      <c r="H47" s="22">
        <f>0.4*H46</f>
        <v>546308.0759999998</v>
      </c>
      <c r="I47" s="22">
        <f>0.4*I46</f>
        <v>546308.0759999998</v>
      </c>
      <c r="J47" s="22">
        <f>0.4*J46</f>
        <v>546308.0759999998</v>
      </c>
      <c r="K47" s="22">
        <f>0.4*K46</f>
        <v>546308.0759999998</v>
      </c>
      <c r="L47" s="22">
        <f>0.45*L46</f>
        <v>2458386.3419999992</v>
      </c>
      <c r="M47" s="24">
        <f>IF(L$12=0,0,+L47/L$12)</f>
        <v>0.09305724665001133</v>
      </c>
    </row>
    <row r="48" spans="1:13" ht="15.75" customHeight="1">
      <c r="A48" s="57"/>
      <c r="B48" s="22"/>
      <c r="C48" s="22"/>
      <c r="D48" s="22"/>
      <c r="E48" s="22"/>
      <c r="F48" s="23"/>
      <c r="G48" s="69"/>
      <c r="H48" s="22"/>
      <c r="I48" s="22"/>
      <c r="J48" s="22"/>
      <c r="K48" s="22"/>
      <c r="L48" s="23"/>
      <c r="M48" s="24"/>
    </row>
    <row r="49" spans="1:13" ht="16.5" customHeight="1" thickBot="1">
      <c r="A49" s="58" t="s">
        <v>36</v>
      </c>
      <c r="B49" s="59">
        <f>B$46-B$47</f>
        <v>34782.113999999965</v>
      </c>
      <c r="C49" s="59">
        <f>C$46-C$47</f>
        <v>34782.113999999965</v>
      </c>
      <c r="D49" s="59">
        <f>D$46-D$47</f>
        <v>34782.113999999965</v>
      </c>
      <c r="E49" s="59">
        <f>E$46-E$47</f>
        <v>34782.113999999965</v>
      </c>
      <c r="F49" s="60">
        <f>F$46-F$47</f>
        <v>139128.75999999978</v>
      </c>
      <c r="G49" s="83">
        <f>IF(F$12=0,0,+F49/F$12)</f>
        <v>0.011093912766127085</v>
      </c>
      <c r="H49" s="59">
        <f>H$46-H$47</f>
        <v>819462.1139999997</v>
      </c>
      <c r="I49" s="59">
        <f>I$46-I$47</f>
        <v>819462.1139999997</v>
      </c>
      <c r="J49" s="59">
        <f>J$46-J$47</f>
        <v>819462.1139999997</v>
      </c>
      <c r="K49" s="59">
        <f>K$46-K$47</f>
        <v>819462.1139999997</v>
      </c>
      <c r="L49" s="60">
        <f>L$46-L$47</f>
        <v>3004694.4179999987</v>
      </c>
      <c r="M49" s="61">
        <f>IF(L$12=0,0,+L49/L$12)</f>
        <v>0.11373663479445828</v>
      </c>
    </row>
    <row r="50" spans="1:13" s="13" customFormat="1" ht="15.75" customHeight="1">
      <c r="A50" s="79" t="s">
        <v>31</v>
      </c>
      <c r="B50" s="24">
        <f>IF(B$12=0,0,+B49/B$12)</f>
        <v>0.011093888525635903</v>
      </c>
      <c r="C50" s="24">
        <f>IF(C$12=0,0,+C49/C$12)</f>
        <v>0.011093888525635903</v>
      </c>
      <c r="D50" s="24">
        <f>IF(D$12=0,0,+D49/D$12)</f>
        <v>0.011093888525635903</v>
      </c>
      <c r="E50" s="24">
        <f>IF(E$12=0,0,+E49/E$12)</f>
        <v>0.011093888525635903</v>
      </c>
      <c r="F50" s="43">
        <f>IF(F$12=0,0,+F49/F$12)</f>
        <v>0.011093912766127085</v>
      </c>
      <c r="G50" s="69"/>
      <c r="H50" s="24">
        <f>IF(H$12=0,0,+H49/H$12)</f>
        <v>0.12407632886668177</v>
      </c>
      <c r="I50" s="24">
        <f>IF(I$12=0,0,+I49/I$12)</f>
        <v>0.12407632886668177</v>
      </c>
      <c r="J50" s="24">
        <f>IF(J$12=0,0,+J49/J$12)</f>
        <v>0.12407632886668177</v>
      </c>
      <c r="K50" s="24">
        <f>IF(K$12=0,0,+K49/K$12)</f>
        <v>0.12407632886668177</v>
      </c>
      <c r="L50" s="43">
        <f>IF(L$12=0,0,+L49/L$12)</f>
        <v>0.11373663479445828</v>
      </c>
      <c r="M50" s="24"/>
    </row>
  </sheetData>
  <printOptions/>
  <pageMargins left="0.75" right="0.75" top="1" bottom="1" header="0.5" footer="0.5"/>
  <pageSetup fitToHeight="1" fitToWidth="1" horizontalDpi="200" verticalDpi="200" orientation="landscape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workbookViewId="0" topLeftCell="B1">
      <selection activeCell="D10" sqref="D10"/>
    </sheetView>
  </sheetViews>
  <sheetFormatPr defaultColWidth="11.140625" defaultRowHeight="12.75"/>
  <cols>
    <col min="1" max="1" width="32.7109375" style="12" customWidth="1"/>
    <col min="2" max="2" width="13.8515625" style="12" customWidth="1"/>
    <col min="3" max="3" width="11.140625" style="13" customWidth="1"/>
    <col min="4" max="4" width="12.57421875" style="12" customWidth="1"/>
    <col min="5" max="5" width="11.140625" style="13" customWidth="1"/>
    <col min="6" max="6" width="15.7109375" style="12" customWidth="1"/>
    <col min="7" max="7" width="11.140625" style="13" customWidth="1"/>
    <col min="8" max="8" width="13.57421875" style="12" customWidth="1"/>
    <col min="9" max="9" width="11.140625" style="13" customWidth="1"/>
    <col min="10" max="10" width="12.7109375" style="12" customWidth="1"/>
    <col min="11" max="11" width="11.140625" style="13" customWidth="1"/>
    <col min="12" max="16384" width="11.140625" style="12" customWidth="1"/>
  </cols>
  <sheetData>
    <row r="1" spans="1:6" ht="22.5" customHeight="1">
      <c r="A1" s="10" t="s">
        <v>22</v>
      </c>
      <c r="B1" s="11" t="s">
        <v>40</v>
      </c>
      <c r="F1" s="2" t="str">
        <f>'[1]Assumptions'!C10</f>
        <v>The All Company</v>
      </c>
    </row>
    <row r="2" ht="12.75" customHeight="1">
      <c r="A2" s="14">
        <v>37622</v>
      </c>
    </row>
    <row r="3" spans="3:11" ht="13.5" customHeight="1">
      <c r="C3" s="16" t="s">
        <v>24</v>
      </c>
      <c r="D3" s="15"/>
      <c r="E3" s="67" t="s">
        <v>24</v>
      </c>
      <c r="G3" s="16" t="s">
        <v>24</v>
      </c>
      <c r="H3" s="15"/>
      <c r="I3" s="67" t="s">
        <v>24</v>
      </c>
      <c r="K3" s="16" t="s">
        <v>24</v>
      </c>
    </row>
    <row r="4" spans="1:11" ht="15.75" customHeight="1">
      <c r="A4" s="17" t="s">
        <v>25</v>
      </c>
      <c r="B4" s="84" t="str">
        <f>+'[1]Budget - Yr 1'!N4</f>
        <v>Year 1</v>
      </c>
      <c r="C4" s="20" t="s">
        <v>25</v>
      </c>
      <c r="D4" s="85" t="str">
        <f>+'[1]Budget - Yrs 2-3'!F5</f>
        <v>Year 2</v>
      </c>
      <c r="E4" s="68" t="s">
        <v>25</v>
      </c>
      <c r="F4" s="84" t="str">
        <f>+'[1]Budget - Yrs 2-3'!L5</f>
        <v>Year 3</v>
      </c>
      <c r="G4" s="20" t="s">
        <v>25</v>
      </c>
      <c r="H4" s="19" t="str">
        <f>'[1]Assumptions'!L$76</f>
        <v>Year 4</v>
      </c>
      <c r="I4" s="68" t="s">
        <v>25</v>
      </c>
      <c r="J4" s="18" t="str">
        <f>'[1]Assumptions'!M$76</f>
        <v>Year 5</v>
      </c>
      <c r="K4" s="20" t="s">
        <v>25</v>
      </c>
    </row>
    <row r="5" spans="1:11" ht="15.75" customHeight="1">
      <c r="A5" s="21" t="str">
        <f>'[1]Assumptions'!$A21</f>
        <v>E-commerce Revenues</v>
      </c>
      <c r="B5" s="22">
        <f>+'[1]Budget - Yr 1'!N5</f>
        <v>1230000</v>
      </c>
      <c r="C5" s="24">
        <f aca="true" t="shared" si="0" ref="C5:C11">IF(B$11=0,0,+B5/B$11)</f>
        <v>0.2841959334565619</v>
      </c>
      <c r="D5" s="23">
        <f>+'[1]Budget - Yrs 2-3'!F6</f>
        <v>3390000</v>
      </c>
      <c r="E5" s="69">
        <f aca="true" t="shared" si="1" ref="E5:E11">IF(D$11=0,0,+D5/D$11)</f>
        <v>0.27031337213938283</v>
      </c>
      <c r="F5" s="22">
        <f>+'[1]Budget - Yrs 2-3'!L6</f>
        <v>7770000</v>
      </c>
      <c r="G5" s="24">
        <f aca="true" t="shared" si="2" ref="G5:G11">IF(F$11=0,0,+F5/F$11)</f>
        <v>0.29411764705882354</v>
      </c>
      <c r="H5" s="23">
        <f>'[1]Gross Profit - Yrs 1-5'!H6</f>
        <v>16980000</v>
      </c>
      <c r="I5" s="69">
        <f>H5/H11</f>
        <v>0.33662424170334243</v>
      </c>
      <c r="J5" s="22">
        <f>'[1]Gross Profit - Yrs 1-5'!J6</f>
        <v>48100000</v>
      </c>
      <c r="K5" s="24">
        <f aca="true" t="shared" si="3" ref="K5:K11">IF(J$11=0,0,+J5/J$11)</f>
        <v>0.4715501352888122</v>
      </c>
    </row>
    <row r="6" spans="1:11" ht="15.75" customHeight="1">
      <c r="A6" s="21" t="str">
        <f>'[1]Assumptions'!$A22</f>
        <v>Advertising Sales Revenues</v>
      </c>
      <c r="B6" s="22">
        <f>+'[1]Budget - Yr 1'!N6</f>
        <v>72000</v>
      </c>
      <c r="C6" s="24">
        <f t="shared" si="0"/>
        <v>0.0166358595194085</v>
      </c>
      <c r="D6" s="23">
        <f>+'[1]Budget - Yrs 2-3'!F7</f>
        <v>216000</v>
      </c>
      <c r="E6" s="69">
        <f t="shared" si="1"/>
        <v>0.017223506897376603</v>
      </c>
      <c r="F6" s="22">
        <f>+'[1]Budget - Yrs 2-3'!L7</f>
        <v>720000</v>
      </c>
      <c r="G6" s="24">
        <f t="shared" si="2"/>
        <v>0.027254144901203724</v>
      </c>
      <c r="H6" s="23">
        <f>'[1]Gross Profit - Yrs 1-5'!H15</f>
        <v>2160000</v>
      </c>
      <c r="I6" s="69">
        <f aca="true" t="shared" si="4" ref="I6:I11">IF(H$11=0,0,+H6/H$11)</f>
        <v>0.0428214583085524</v>
      </c>
      <c r="J6" s="22">
        <f>'[1]Gross Profit - Yrs 1-5'!J15</f>
        <v>5040000</v>
      </c>
      <c r="K6" s="24">
        <f t="shared" si="3"/>
        <v>0.04940982706560527</v>
      </c>
    </row>
    <row r="7" spans="1:11" ht="15.75" customHeight="1">
      <c r="A7" s="21" t="str">
        <f>'[1]Assumptions'!$A23</f>
        <v>Membership List Sales Revenues</v>
      </c>
      <c r="B7" s="22">
        <v>14000</v>
      </c>
      <c r="C7" s="24">
        <f t="shared" si="0"/>
        <v>0.003234750462107209</v>
      </c>
      <c r="D7" s="23">
        <v>49000</v>
      </c>
      <c r="E7" s="69">
        <f t="shared" si="1"/>
        <v>0.003907184435053026</v>
      </c>
      <c r="F7" s="22">
        <v>126000</v>
      </c>
      <c r="G7" s="24">
        <f t="shared" si="2"/>
        <v>0.0047694753577106515</v>
      </c>
      <c r="H7" s="23">
        <v>336000</v>
      </c>
      <c r="I7" s="69">
        <f t="shared" si="4"/>
        <v>0.006661115736885929</v>
      </c>
      <c r="J7" s="22">
        <v>840000</v>
      </c>
      <c r="K7" s="24">
        <f t="shared" si="3"/>
        <v>0.008234971177600879</v>
      </c>
    </row>
    <row r="8" spans="1:11" ht="15.75" customHeight="1">
      <c r="A8" s="21" t="str">
        <f>'[1]Assumptions'!$A24</f>
        <v>Publication Revenues</v>
      </c>
      <c r="B8" s="22">
        <v>1512000</v>
      </c>
      <c r="C8" s="24">
        <f t="shared" si="0"/>
        <v>0.34935304990757854</v>
      </c>
      <c r="D8" s="23">
        <v>5376000</v>
      </c>
      <c r="E8" s="69">
        <f t="shared" si="1"/>
        <v>0.4286739494458177</v>
      </c>
      <c r="F8" s="22">
        <v>10752000</v>
      </c>
      <c r="G8" s="24">
        <f t="shared" si="2"/>
        <v>0.4069952305246423</v>
      </c>
      <c r="H8" s="23">
        <v>18816000</v>
      </c>
      <c r="I8" s="69">
        <f t="shared" si="4"/>
        <v>0.373022481265612</v>
      </c>
      <c r="J8" s="22">
        <v>28224000</v>
      </c>
      <c r="K8" s="24">
        <f t="shared" si="3"/>
        <v>0.2766950315673895</v>
      </c>
    </row>
    <row r="9" spans="1:11" ht="15.75" customHeight="1">
      <c r="A9" s="21" t="str">
        <f>'[1]Assumptions'!$A25</f>
        <v>TV Program Production Revenues</v>
      </c>
      <c r="B9" s="22">
        <f>+'[1]Budget - Yr 1'!N9</f>
        <v>1500000</v>
      </c>
      <c r="C9" s="24">
        <f t="shared" si="0"/>
        <v>0.3465804066543438</v>
      </c>
      <c r="D9" s="23">
        <v>3000000</v>
      </c>
      <c r="E9" s="69">
        <f t="shared" si="1"/>
        <v>0.23921537357467507</v>
      </c>
      <c r="F9" s="22">
        <v>4500000</v>
      </c>
      <c r="G9" s="24">
        <f t="shared" si="2"/>
        <v>0.17033840563252328</v>
      </c>
      <c r="H9" s="23">
        <f>'[1]Assumptions'!L81</f>
        <v>4500000</v>
      </c>
      <c r="I9" s="69">
        <f t="shared" si="4"/>
        <v>0.08921137147615082</v>
      </c>
      <c r="J9" s="22">
        <f>'[1]Assumptions'!M81</f>
        <v>4500000</v>
      </c>
      <c r="K9" s="24">
        <f t="shared" si="3"/>
        <v>0.04411591702286185</v>
      </c>
    </row>
    <row r="10" spans="1:11" ht="15.75" customHeight="1">
      <c r="A10" s="21" t="s">
        <v>53</v>
      </c>
      <c r="B10" s="22">
        <v>0</v>
      </c>
      <c r="C10" s="24">
        <f t="shared" si="0"/>
        <v>0</v>
      </c>
      <c r="D10" s="23">
        <v>510000</v>
      </c>
      <c r="E10" s="69">
        <f t="shared" si="1"/>
        <v>0.04066661350769476</v>
      </c>
      <c r="F10" s="22">
        <v>2550000</v>
      </c>
      <c r="G10" s="24">
        <f t="shared" si="2"/>
        <v>0.09652509652509653</v>
      </c>
      <c r="H10" s="23">
        <f>10200000*0.75</f>
        <v>7650000</v>
      </c>
      <c r="I10" s="69">
        <f t="shared" si="4"/>
        <v>0.1516593315094564</v>
      </c>
      <c r="J10" s="22">
        <v>15300000</v>
      </c>
      <c r="K10" s="24">
        <f t="shared" si="3"/>
        <v>0.1499941178777303</v>
      </c>
    </row>
    <row r="11" spans="1:11" ht="16.5" customHeight="1" thickBot="1">
      <c r="A11" s="44" t="s">
        <v>26</v>
      </c>
      <c r="B11" s="45">
        <f>SUM(B5:B10)</f>
        <v>4328000</v>
      </c>
      <c r="C11" s="47">
        <f t="shared" si="0"/>
        <v>1</v>
      </c>
      <c r="D11" s="45">
        <f>SUM(D5:D10)</f>
        <v>12541000</v>
      </c>
      <c r="E11" s="70">
        <f t="shared" si="1"/>
        <v>1</v>
      </c>
      <c r="F11" s="45">
        <f>SUM(F5:F10)</f>
        <v>26418000</v>
      </c>
      <c r="G11" s="47">
        <f t="shared" si="2"/>
        <v>1</v>
      </c>
      <c r="H11" s="45">
        <f>SUM(H5:H10)</f>
        <v>50442000</v>
      </c>
      <c r="I11" s="70">
        <f t="shared" si="4"/>
        <v>1</v>
      </c>
      <c r="J11" s="45">
        <f>SUM(J5:J10)</f>
        <v>102004000</v>
      </c>
      <c r="K11" s="47">
        <f t="shared" si="3"/>
        <v>1</v>
      </c>
    </row>
    <row r="12" spans="1:11" ht="16.5" customHeight="1" thickTop="1">
      <c r="A12" s="21"/>
      <c r="B12" s="22"/>
      <c r="C12" s="24"/>
      <c r="D12" s="23"/>
      <c r="E12" s="69"/>
      <c r="F12" s="22"/>
      <c r="G12" s="24"/>
      <c r="H12" s="23"/>
      <c r="I12" s="69"/>
      <c r="J12" s="22"/>
      <c r="K12" s="24"/>
    </row>
    <row r="13" spans="1:11" ht="16.5" customHeight="1">
      <c r="A13" s="86"/>
      <c r="B13" s="22"/>
      <c r="C13" s="24"/>
      <c r="D13" s="23"/>
      <c r="E13" s="69"/>
      <c r="F13" s="22"/>
      <c r="G13" s="24"/>
      <c r="H13" s="23"/>
      <c r="I13" s="69"/>
      <c r="J13" s="22"/>
      <c r="K13" s="24"/>
    </row>
    <row r="14" spans="1:11" ht="16.5" customHeight="1">
      <c r="A14" s="87" t="s">
        <v>38</v>
      </c>
      <c r="B14" s="88"/>
      <c r="C14" s="89"/>
      <c r="D14" s="50"/>
      <c r="E14" s="90"/>
      <c r="F14" s="88"/>
      <c r="G14" s="90"/>
      <c r="H14" s="50"/>
      <c r="I14" s="90"/>
      <c r="J14" s="88"/>
      <c r="K14" s="89"/>
    </row>
    <row r="15" spans="1:11" ht="16.5" customHeight="1">
      <c r="A15" s="91" t="str">
        <f>'[1]Budget - Yr 1'!A14</f>
        <v>e-Commerce Cost of Sales</v>
      </c>
      <c r="B15" s="31">
        <f>'[1]Budget - Yr 1'!N14</f>
        <v>336000</v>
      </c>
      <c r="C15" s="92">
        <f>IF(B$11=0,0,+B15/B$11)</f>
        <v>0.07763401109057301</v>
      </c>
      <c r="D15" s="31">
        <f>'[1]Budget - Yrs 2-3'!F14</f>
        <v>1007999.9999999999</v>
      </c>
      <c r="E15" s="92">
        <f>IF(D$11=0,0,+D15/D$11)</f>
        <v>0.08037636552109081</v>
      </c>
      <c r="F15" s="31">
        <f>'[1]Budget - Yrs 2-3'!L14</f>
        <v>1708000</v>
      </c>
      <c r="G15" s="69">
        <f>IF(F$11=0,0,+F15/F$11)</f>
        <v>0.06465288818229994</v>
      </c>
      <c r="H15" s="31">
        <f>'[1]Assumptions'!L222</f>
        <v>3360000</v>
      </c>
      <c r="I15" s="69">
        <f>IF(H$11=0,0,+H15/H$11)</f>
        <v>0.06661115736885928</v>
      </c>
      <c r="J15" s="31">
        <f>'[1]Assumptions'!M222</f>
        <v>10080000</v>
      </c>
      <c r="K15" s="69">
        <f>IF(J$11=0,0,+J15/J$11)</f>
        <v>0.09881965413121054</v>
      </c>
    </row>
    <row r="16" spans="1:11" ht="16.5" customHeight="1">
      <c r="A16" s="91" t="str">
        <f>'[1]Budget - Yr 1'!A15</f>
        <v>Production Cost of Sales</v>
      </c>
      <c r="B16" s="31">
        <f>'[1]Budget - Yr 1'!N15</f>
        <v>150000</v>
      </c>
      <c r="C16" s="69">
        <f>IF(B$11=0,0,+B16/B$11)</f>
        <v>0.03465804066543438</v>
      </c>
      <c r="D16" s="31">
        <f>'[1]Budget - Yrs 2-3'!F15</f>
        <v>150000</v>
      </c>
      <c r="E16" s="69">
        <f>IF(D$11=0,0,+D16/D$11)</f>
        <v>0.011960768678733753</v>
      </c>
      <c r="F16" s="31">
        <f>'[1]Budget - Yrs 2-3'!L15</f>
        <v>150000</v>
      </c>
      <c r="G16" s="69">
        <f>IF(F$11=0,0,+F16/F$11)</f>
        <v>0.005677946854417443</v>
      </c>
      <c r="H16" s="31">
        <f>'[1]Assumptions'!L223</f>
        <v>150000</v>
      </c>
      <c r="I16" s="69">
        <f>IF(H$11=0,0,+H16/H$11)</f>
        <v>0.0029737123825383607</v>
      </c>
      <c r="J16" s="31">
        <f>'[1]Assumptions'!M223</f>
        <v>150000</v>
      </c>
      <c r="K16" s="69">
        <f>IF(J$11=0,0,+J16/J$11)</f>
        <v>0.0014705305674287282</v>
      </c>
    </row>
    <row r="17" spans="1:11" ht="16.5" customHeight="1">
      <c r="A17" s="91" t="s">
        <v>55</v>
      </c>
      <c r="B17" s="31">
        <f>'Budget Yr 1'!N17</f>
        <v>1176798</v>
      </c>
      <c r="C17" s="90">
        <f>IF(B$11=0,0,+B17/B$11)</f>
        <v>0.27190341959334563</v>
      </c>
      <c r="D17" s="31">
        <f>'[1]Budget - Yrs 2-3'!F16</f>
        <v>2936000</v>
      </c>
      <c r="E17" s="90">
        <f>IF(D$11=0,0,+D17/D$11)</f>
        <v>0.23411211227174866</v>
      </c>
      <c r="F17" s="31">
        <f>'[1]Budget - Yrs 2-3'!L16</f>
        <v>3858400</v>
      </c>
      <c r="G17" s="90">
        <f>IF(F$11=0,0,+F17/F$11)</f>
        <v>0.1460519342872284</v>
      </c>
      <c r="H17" s="31">
        <f>'[1]Assumptions'!L224</f>
        <v>4933600</v>
      </c>
      <c r="I17" s="69">
        <f>IF(H$11=0,0,+H17/H$11)</f>
        <v>0.09780738273660838</v>
      </c>
      <c r="J17" s="31">
        <f>'[1]Assumptions'!M224</f>
        <v>6316000</v>
      </c>
      <c r="K17" s="69">
        <f>IF(J$11=0,0,+J17/J$11)</f>
        <v>0.06191914042586565</v>
      </c>
    </row>
    <row r="18" spans="1:11" ht="16.5" customHeight="1">
      <c r="A18" s="93" t="s">
        <v>39</v>
      </c>
      <c r="B18" s="94">
        <f>SUM(B15:B17)</f>
        <v>1662798</v>
      </c>
      <c r="C18" s="95">
        <f>IF(B$11=0,0,+B18/B$11)</f>
        <v>0.38419547134935306</v>
      </c>
      <c r="D18" s="94">
        <f>SUM(D15:D17)</f>
        <v>4094000</v>
      </c>
      <c r="E18" s="95">
        <f>IF(D$11=0,0,+D18/D$11)</f>
        <v>0.32644924647157325</v>
      </c>
      <c r="F18" s="94">
        <f>SUM(F15:F17)</f>
        <v>5716400</v>
      </c>
      <c r="G18" s="90">
        <f>IF(F$11=0,0,+F18/F$11)</f>
        <v>0.2163827693239458</v>
      </c>
      <c r="H18" s="94">
        <f>SUM(H15:H17)</f>
        <v>8443600</v>
      </c>
      <c r="I18" s="95">
        <f>IF(H$11=0,0,+H18/H$11)</f>
        <v>0.16739225248800602</v>
      </c>
      <c r="J18" s="94">
        <f>SUM(J15:J17)</f>
        <v>16546000</v>
      </c>
      <c r="K18" s="96">
        <f>IF(J$11=0,0,+J18/J$11)</f>
        <v>0.16220932512450492</v>
      </c>
    </row>
    <row r="19" spans="1:11" ht="16.5" customHeight="1">
      <c r="A19" s="21"/>
      <c r="B19" s="22"/>
      <c r="C19" s="97"/>
      <c r="D19" s="31"/>
      <c r="E19" s="69"/>
      <c r="F19" s="22"/>
      <c r="G19" s="24"/>
      <c r="H19" s="23"/>
      <c r="I19" s="69"/>
      <c r="J19" s="22"/>
      <c r="K19" s="24"/>
    </row>
    <row r="20" spans="2:11" ht="15.75" customHeight="1">
      <c r="B20" s="22"/>
      <c r="C20" s="24"/>
      <c r="D20" s="23"/>
      <c r="E20" s="69"/>
      <c r="F20" s="22"/>
      <c r="G20" s="24"/>
      <c r="H20" s="23"/>
      <c r="I20" s="69"/>
      <c r="J20" s="22"/>
      <c r="K20" s="24"/>
    </row>
    <row r="21" spans="1:11" ht="15.75" customHeight="1">
      <c r="A21" s="98" t="s">
        <v>28</v>
      </c>
      <c r="B21" s="22">
        <f>+'[1]Budget - Yr 1'!N21</f>
        <v>3000000</v>
      </c>
      <c r="C21" s="24">
        <f>IF(B$11=0,0,+B21/B$11)</f>
        <v>0.6931608133086876</v>
      </c>
      <c r="D21" s="23">
        <f>+'[1]Budget - Yrs 2-3'!F21</f>
        <v>5000000</v>
      </c>
      <c r="E21" s="69">
        <f>IF(D$11=0,0,+D21/D$11)</f>
        <v>0.3986922892911251</v>
      </c>
      <c r="F21" s="22">
        <f>+'[1]Budget - Yrs 2-3'!L21</f>
        <v>10000000</v>
      </c>
      <c r="G21" s="24">
        <f>IF(F$11=0,0,+F21/F$11)</f>
        <v>0.3785297902944962</v>
      </c>
      <c r="H21" s="23">
        <f>IF('[1]Assumptions'!$B236='[1]Assumptions'!$B$15,0,IF('[1]Assumptions'!$B236='[1]Assumptions'!$B$12,ROUND('[1]Assumptions'!L281,0),IF('[1]Assumptions'!$B236='[1]Assumptions'!$B$13,IF('[1]Assumptions'!$AA236&lt;=0,'[1]Assumptions'!$AB236,ROUND(SUM('[1]Budget - Yrs 2-3'!H21:K21)*(1+'[1]Assumptions'!$D250),0)),IF('[1]Assumptions'!$B236='[1]Assumptions'!$B$14,ROUND('[1]Budget - Yrs 2-3'!K21*4+'[1]Assumptions'!$E236*90,0),'[1]Assumptions'!$Y236))))</f>
        <v>20000000</v>
      </c>
      <c r="I21" s="69">
        <f>IF(H$11=0,0,+H21/H$11)</f>
        <v>0.3964949843384481</v>
      </c>
      <c r="J21" s="22">
        <f>IF('[1]Assumptions'!$B236='[1]Assumptions'!$B$15,0,IF('[1]Assumptions'!$B236='[1]Assumptions'!$B$12,ROUND('[1]Assumptions'!M281,0),IF('[1]Assumptions'!$B236='[1]Assumptions'!$B$13,IF('[1]Assumptions'!$AA236&lt;=0,'[1]Assumptions'!$AB236,ROUND(H21*(1+'[1]Assumptions'!$D250),0)),IF('[1]Assumptions'!$B236='[1]Assumptions'!$B$14,ROUND(H21+'[1]Assumptions'!$E236*144,0),'[1]Assumptions'!$Y236))))</f>
        <v>30000000</v>
      </c>
      <c r="K21" s="24">
        <f>IF(J$11=0,0,+J21/J$11)</f>
        <v>0.29410611348574567</v>
      </c>
    </row>
    <row r="22" spans="1:11" ht="16.5" customHeight="1" thickBot="1">
      <c r="A22" s="44" t="s">
        <v>30</v>
      </c>
      <c r="B22" s="45">
        <f>+'[1]Budget - Yr 1'!N22</f>
        <v>3000000</v>
      </c>
      <c r="C22" s="47">
        <f>IF(B$11=0,0,+B22/B$11)</f>
        <v>0.6931608133086876</v>
      </c>
      <c r="D22" s="46">
        <f>+'[1]Budget - Yrs 2-3'!F22</f>
        <v>5000000</v>
      </c>
      <c r="E22" s="70">
        <f>IF(D$11=0,0,+D22/D$11)</f>
        <v>0.3986922892911251</v>
      </c>
      <c r="F22" s="45">
        <f>+'[1]Budget - Yrs 2-3'!L22</f>
        <v>10000000</v>
      </c>
      <c r="G22" s="47">
        <f>IF(F$11=0,0,+F22/F$11)</f>
        <v>0.3785297902944962</v>
      </c>
      <c r="H22" s="46">
        <f>SUM(H$21:H$21)</f>
        <v>20000000</v>
      </c>
      <c r="I22" s="70">
        <f>IF(H$11=0,0,+H22/H$11)</f>
        <v>0.3964949843384481</v>
      </c>
      <c r="J22" s="45">
        <f>SUM(J$21:J$21)</f>
        <v>30000000</v>
      </c>
      <c r="K22" s="47">
        <f>IF(J$11=0,0,+J22/J$11)</f>
        <v>0.29410611348574567</v>
      </c>
    </row>
    <row r="23" spans="1:11" s="13" customFormat="1" ht="16.5" customHeight="1" thickTop="1">
      <c r="A23" s="79" t="s">
        <v>31</v>
      </c>
      <c r="B23" s="24">
        <f>+'[1]Budget - Yr 1'!N23</f>
        <v>0.43808385625942975</v>
      </c>
      <c r="C23" s="24"/>
      <c r="D23" s="43">
        <f>+'[1]Budget - Yrs 2-3'!F23</f>
        <v>0.28735632183908044</v>
      </c>
      <c r="E23" s="69"/>
      <c r="F23" s="24">
        <f>+'[1]Budget - Yrs 2-3'!L23</f>
        <v>0.31344032096288865</v>
      </c>
      <c r="G23" s="24"/>
      <c r="H23" s="43">
        <f>IF(H$11=0,0,+H22/H$11)</f>
        <v>0.3964949843384481</v>
      </c>
      <c r="I23" s="69"/>
      <c r="J23" s="24">
        <f>IF(J$11=0,0,+J22/J$11)</f>
        <v>0.29410611348574567</v>
      </c>
      <c r="K23" s="24"/>
    </row>
    <row r="24" spans="1:11" s="13" customFormat="1" ht="16.5" customHeight="1">
      <c r="A24" s="79"/>
      <c r="B24" s="24"/>
      <c r="C24" s="24"/>
      <c r="D24" s="43"/>
      <c r="E24" s="69"/>
      <c r="F24" s="24"/>
      <c r="G24" s="24"/>
      <c r="H24" s="43"/>
      <c r="I24" s="69"/>
      <c r="J24" s="24"/>
      <c r="K24" s="24"/>
    </row>
    <row r="25" spans="1:11" s="13" customFormat="1" ht="16.5" customHeight="1">
      <c r="A25" s="99" t="s">
        <v>32</v>
      </c>
      <c r="B25" s="24"/>
      <c r="C25" s="24"/>
      <c r="D25" s="43"/>
      <c r="E25" s="69"/>
      <c r="F25" s="24"/>
      <c r="G25" s="24"/>
      <c r="H25" s="43"/>
      <c r="I25" s="69"/>
      <c r="J25" s="24"/>
      <c r="K25" s="24"/>
    </row>
    <row r="26" spans="1:11" ht="15.75" customHeight="1">
      <c r="A26" s="21"/>
      <c r="B26" s="22"/>
      <c r="C26" s="24"/>
      <c r="D26" s="23"/>
      <c r="E26" s="69"/>
      <c r="F26" s="22"/>
      <c r="G26" s="24"/>
      <c r="H26" s="23"/>
      <c r="I26" s="69"/>
      <c r="J26" s="22"/>
      <c r="K26" s="24"/>
    </row>
    <row r="27" spans="1:11" ht="15.75" customHeight="1">
      <c r="A27" s="21"/>
      <c r="B27" s="22"/>
      <c r="C27" s="24"/>
      <c r="D27" s="23"/>
      <c r="E27" s="69"/>
      <c r="F27" s="22"/>
      <c r="G27" s="24"/>
      <c r="H27" s="23"/>
      <c r="I27" s="69"/>
      <c r="J27" s="22"/>
      <c r="K27" s="24"/>
    </row>
    <row r="28" spans="1:11" ht="15.75" customHeight="1">
      <c r="A28" s="49" t="str">
        <f>'[1]Assumptions'!$A$337</f>
        <v>General &amp; Administrative</v>
      </c>
      <c r="B28" s="22"/>
      <c r="C28" s="24"/>
      <c r="D28" s="23"/>
      <c r="E28" s="69"/>
      <c r="F28" s="22"/>
      <c r="G28" s="24"/>
      <c r="H28" s="23"/>
      <c r="I28" s="69"/>
      <c r="J28" s="22"/>
      <c r="K28" s="24"/>
    </row>
    <row r="29" spans="1:11" ht="15.75" customHeight="1">
      <c r="A29" s="6" t="s">
        <v>52</v>
      </c>
      <c r="B29" s="22">
        <v>900000</v>
      </c>
      <c r="C29" s="69">
        <f aca="true" t="shared" si="5" ref="C29:K43">IF(B$11=0,0,+B29/B$11)</f>
        <v>0.20794824399260628</v>
      </c>
      <c r="D29" s="23"/>
      <c r="E29" s="69"/>
      <c r="F29" s="22"/>
      <c r="G29" s="24"/>
      <c r="H29" s="23"/>
      <c r="I29" s="69"/>
      <c r="J29" s="22"/>
      <c r="K29" s="24"/>
    </row>
    <row r="30" spans="1:11" ht="15.75" customHeight="1">
      <c r="A30" s="21" t="str">
        <f>'[1]Assumptions'!A377</f>
        <v>Salary Payroll</v>
      </c>
      <c r="B30" s="22">
        <f>'[1]Budget - Yr 1'!N29</f>
        <v>1390000</v>
      </c>
      <c r="C30" s="69">
        <f t="shared" si="5"/>
        <v>0.3211645101663586</v>
      </c>
      <c r="D30" s="23">
        <f>'[1]Budget - Yrs 2-3'!F27</f>
        <v>1660000</v>
      </c>
      <c r="E30" s="69">
        <f t="shared" si="5"/>
        <v>0.13236584004465354</v>
      </c>
      <c r="F30" s="22">
        <f>'[1]Budget - Yrs 2-3'!L27</f>
        <v>2545000</v>
      </c>
      <c r="G30" s="69">
        <f t="shared" si="5"/>
        <v>0.09633583162994927</v>
      </c>
      <c r="H30" s="23">
        <f>'[1]Assumptions'!L395</f>
        <v>3540000</v>
      </c>
      <c r="I30" s="69">
        <f t="shared" si="5"/>
        <v>0.07017961222790532</v>
      </c>
      <c r="J30" s="22">
        <f>'[1]Assumptions'!M395</f>
        <v>4730000</v>
      </c>
      <c r="K30" s="69">
        <f t="shared" si="5"/>
        <v>0.0463707305595859</v>
      </c>
    </row>
    <row r="31" spans="1:11" ht="15.75" customHeight="1">
      <c r="A31" s="21" t="str">
        <f>'[1]Assumptions'!A378</f>
        <v>Fringe Benefits (20% of Salaries)</v>
      </c>
      <c r="B31" s="22">
        <f>'[1]Budget - Yr 1'!N30</f>
        <v>277999.99999999994</v>
      </c>
      <c r="C31" s="69">
        <f t="shared" si="5"/>
        <v>0.0642329020332717</v>
      </c>
      <c r="D31" s="31">
        <f>'[1]Budget - Yrs 2-3'!F28</f>
        <v>332000</v>
      </c>
      <c r="E31" s="69">
        <f t="shared" si="5"/>
        <v>0.02647316800893071</v>
      </c>
      <c r="F31" s="22">
        <f>'[1]Budget - Yrs 2-3'!L28</f>
        <v>509000</v>
      </c>
      <c r="G31" s="69">
        <f t="shared" si="5"/>
        <v>0.019267166325989855</v>
      </c>
      <c r="H31" s="23">
        <f>'[1]Assumptions'!L396</f>
        <v>708000</v>
      </c>
      <c r="I31" s="69">
        <f t="shared" si="5"/>
        <v>0.014035922445581063</v>
      </c>
      <c r="J31" s="22">
        <f>'[1]Assumptions'!M396</f>
        <v>946000</v>
      </c>
      <c r="K31" s="69">
        <f t="shared" si="5"/>
        <v>0.009274146111917179</v>
      </c>
    </row>
    <row r="32" spans="1:11" ht="15.75" customHeight="1">
      <c r="A32" s="21" t="str">
        <f>'[1]Assumptions'!A379</f>
        <v>Bonuses (20% of salaries)</v>
      </c>
      <c r="B32" s="22">
        <f>'[1]Budget - Yr 1'!N31</f>
        <v>277999.99999999994</v>
      </c>
      <c r="C32" s="69">
        <f t="shared" si="5"/>
        <v>0.0642329020332717</v>
      </c>
      <c r="D32" s="31">
        <f>'[1]Budget - Yrs 2-3'!F29</f>
        <v>332000</v>
      </c>
      <c r="E32" s="69">
        <f t="shared" si="5"/>
        <v>0.02647316800893071</v>
      </c>
      <c r="F32" s="22">
        <f>'[1]Budget - Yrs 2-3'!L29</f>
        <v>509000</v>
      </c>
      <c r="G32" s="69">
        <f t="shared" si="5"/>
        <v>0.019267166325989855</v>
      </c>
      <c r="H32" s="23">
        <f>'[1]Assumptions'!L397</f>
        <v>708000</v>
      </c>
      <c r="I32" s="69">
        <f t="shared" si="5"/>
        <v>0.014035922445581063</v>
      </c>
      <c r="J32" s="22">
        <f>'[1]Assumptions'!M397</f>
        <v>946000</v>
      </c>
      <c r="K32" s="69">
        <f t="shared" si="5"/>
        <v>0.009274146111917179</v>
      </c>
    </row>
    <row r="33" spans="1:11" ht="15.75" customHeight="1">
      <c r="A33" s="21" t="str">
        <f>'[1]Assumptions'!A380</f>
        <v>Travel &amp; Entertainment</v>
      </c>
      <c r="B33" s="22">
        <f>'[1]Budget - Yr 1'!N32</f>
        <v>84000</v>
      </c>
      <c r="C33" s="69">
        <f t="shared" si="5"/>
        <v>0.019408502772643253</v>
      </c>
      <c r="D33" s="31">
        <f>'[1]Budget - Yrs 2-3'!F30</f>
        <v>84000</v>
      </c>
      <c r="E33" s="69">
        <f t="shared" si="5"/>
        <v>0.006698030460090902</v>
      </c>
      <c r="F33" s="22">
        <f>'[1]Budget - Yrs 2-3'!L30</f>
        <v>84000</v>
      </c>
      <c r="G33" s="69">
        <f t="shared" si="5"/>
        <v>0.003179650238473768</v>
      </c>
      <c r="H33" s="23">
        <f>'[1]Assumptions'!L398</f>
        <v>90000</v>
      </c>
      <c r="I33" s="69">
        <f t="shared" si="5"/>
        <v>0.0017842274295230165</v>
      </c>
      <c r="J33" s="22">
        <f>'[1]Assumptions'!M398</f>
        <v>90000</v>
      </c>
      <c r="K33" s="69">
        <f t="shared" si="5"/>
        <v>0.0008823183404572369</v>
      </c>
    </row>
    <row r="34" spans="1:11" ht="15.75" customHeight="1">
      <c r="A34" s="21" t="str">
        <f>'[1]Assumptions'!A381</f>
        <v>Co-Location Network Costs</v>
      </c>
      <c r="B34" s="22">
        <f>'[1]Budget - Yr 1'!N33</f>
        <v>99999.99999999999</v>
      </c>
      <c r="C34" s="69">
        <f t="shared" si="5"/>
        <v>0.023105360443622918</v>
      </c>
      <c r="D34" s="31">
        <f>'[1]Budget - Yrs 2-3'!F31</f>
        <v>250000</v>
      </c>
      <c r="E34" s="69">
        <f t="shared" si="5"/>
        <v>0.019934614464556254</v>
      </c>
      <c r="F34" s="22">
        <f>'[1]Budget - Yrs 2-3'!L31</f>
        <v>500000</v>
      </c>
      <c r="G34" s="69">
        <f t="shared" si="5"/>
        <v>0.01892648951472481</v>
      </c>
      <c r="H34" s="23">
        <f>'[1]Assumptions'!L399</f>
        <v>1000000</v>
      </c>
      <c r="I34" s="69">
        <f t="shared" si="5"/>
        <v>0.019824749216922406</v>
      </c>
      <c r="J34" s="22">
        <f>'[1]Assumptions'!M399</f>
        <v>2500000</v>
      </c>
      <c r="K34" s="69">
        <f t="shared" si="5"/>
        <v>0.024508842790478803</v>
      </c>
    </row>
    <row r="35" spans="1:11" ht="15.75" customHeight="1">
      <c r="A35" s="21" t="str">
        <f>'[1]Assumptions'!A382</f>
        <v>Legal &amp; Consulting Fees</v>
      </c>
      <c r="B35" s="22">
        <f>'[1]Budget - Yr 1'!N34</f>
        <v>120000</v>
      </c>
      <c r="C35" s="69">
        <f t="shared" si="5"/>
        <v>0.027726432532347505</v>
      </c>
      <c r="D35" s="31">
        <f>'[1]Budget - Yrs 2-3'!F32</f>
        <v>160000</v>
      </c>
      <c r="E35" s="69">
        <f t="shared" si="5"/>
        <v>0.012758153257316003</v>
      </c>
      <c r="F35" s="22">
        <f>'[1]Budget - Yrs 2-3'!L32</f>
        <v>200000</v>
      </c>
      <c r="G35" s="69">
        <f t="shared" si="5"/>
        <v>0.007570595805889924</v>
      </c>
      <c r="H35" s="23">
        <f>'[1]Assumptions'!L400</f>
        <v>250000</v>
      </c>
      <c r="I35" s="69">
        <f t="shared" si="5"/>
        <v>0.004956187304230602</v>
      </c>
      <c r="J35" s="22">
        <f>'[1]Assumptions'!M400</f>
        <v>250000</v>
      </c>
      <c r="K35" s="69">
        <f t="shared" si="5"/>
        <v>0.0024508842790478807</v>
      </c>
    </row>
    <row r="36" spans="1:11" ht="15.75" customHeight="1">
      <c r="A36" s="21" t="str">
        <f>'[1]Assumptions'!A383</f>
        <v>Leases - Copier               </v>
      </c>
      <c r="B36" s="22">
        <f>'[1]Budget - Yr 1'!N35</f>
        <v>3990.039999999999</v>
      </c>
      <c r="C36" s="69">
        <f t="shared" si="5"/>
        <v>0.0009219131238447318</v>
      </c>
      <c r="D36" s="31">
        <f>'[1]Budget - Yrs 2-3'!F33</f>
        <v>3990.04</v>
      </c>
      <c r="E36" s="69">
        <f t="shared" si="5"/>
        <v>0.00031815963639263216</v>
      </c>
      <c r="F36" s="22">
        <f>'[1]Budget - Yrs 2-3'!L33</f>
        <v>3990.04</v>
      </c>
      <c r="G36" s="69">
        <f t="shared" si="5"/>
        <v>0.00015103490044666515</v>
      </c>
      <c r="H36" s="23">
        <f>'[1]Assumptions'!L401</f>
        <v>4500</v>
      </c>
      <c r="I36" s="69">
        <f t="shared" si="5"/>
        <v>8.921137147615082E-05</v>
      </c>
      <c r="J36" s="22">
        <f>'[1]Assumptions'!M401</f>
        <v>4500</v>
      </c>
      <c r="K36" s="69">
        <f t="shared" si="5"/>
        <v>4.411591702286185E-05</v>
      </c>
    </row>
    <row r="37" spans="1:11" ht="15.75" customHeight="1">
      <c r="A37" s="21" t="str">
        <f>'[1]Assumptions'!A384</f>
        <v>Lease  - Telephone            </v>
      </c>
      <c r="B37" s="22">
        <f>'[1]Budget - Yr 1'!N36</f>
        <v>19529.200000000004</v>
      </c>
      <c r="C37" s="69">
        <f t="shared" si="5"/>
        <v>0.0045122920517560085</v>
      </c>
      <c r="D37" s="31">
        <f>'[1]Budget - Yrs 2-3'!F34</f>
        <v>19529.2</v>
      </c>
      <c r="E37" s="69">
        <f t="shared" si="5"/>
        <v>0.0015572282912048481</v>
      </c>
      <c r="F37" s="22">
        <f>'[1]Budget - Yrs 2-3'!L34</f>
        <v>19529.2</v>
      </c>
      <c r="G37" s="69">
        <f t="shared" si="5"/>
        <v>0.0007392383980619275</v>
      </c>
      <c r="H37" s="23">
        <f>'[1]Assumptions'!L402</f>
        <v>22000</v>
      </c>
      <c r="I37" s="69">
        <f t="shared" si="5"/>
        <v>0.0004361444827722929</v>
      </c>
      <c r="J37" s="22">
        <f>'[1]Assumptions'!M402</f>
        <v>22000</v>
      </c>
      <c r="K37" s="69">
        <f t="shared" si="5"/>
        <v>0.0002156778165562135</v>
      </c>
    </row>
    <row r="38" spans="1:11" ht="15.75" customHeight="1">
      <c r="A38" s="21" t="str">
        <f>'[1]Assumptions'!A385</f>
        <v>Office Internet access</v>
      </c>
      <c r="B38" s="22">
        <f>'[1]Budget - Yr 1'!N37</f>
        <v>9000</v>
      </c>
      <c r="C38" s="69">
        <f t="shared" si="5"/>
        <v>0.0020794824399260627</v>
      </c>
      <c r="D38" s="31">
        <f>'[1]Budget - Yrs 2-3'!F35</f>
        <v>10000</v>
      </c>
      <c r="E38" s="69">
        <f t="shared" si="5"/>
        <v>0.0007973845785822502</v>
      </c>
      <c r="F38" s="22">
        <f>'[1]Budget - Yrs 2-3'!L35</f>
        <v>16000</v>
      </c>
      <c r="G38" s="69">
        <f t="shared" si="5"/>
        <v>0.0006056476644711938</v>
      </c>
      <c r="H38" s="23">
        <f>'[1]Assumptions'!L403</f>
        <v>5000</v>
      </c>
      <c r="I38" s="69">
        <f t="shared" si="5"/>
        <v>9.912374608461203E-05</v>
      </c>
      <c r="J38" s="22">
        <f>'[1]Assumptions'!M403</f>
        <v>5000</v>
      </c>
      <c r="K38" s="69">
        <f t="shared" si="5"/>
        <v>4.901768558095761E-05</v>
      </c>
    </row>
    <row r="39" spans="1:11" ht="15.75" customHeight="1">
      <c r="A39" s="21" t="str">
        <f>'[1]Assumptions'!A386</f>
        <v>Postage &amp; Delivery            </v>
      </c>
      <c r="B39" s="22">
        <f>'[1]Budget - Yr 1'!N38</f>
        <v>24000</v>
      </c>
      <c r="C39" s="69">
        <f t="shared" si="5"/>
        <v>0.005545286506469501</v>
      </c>
      <c r="D39" s="31">
        <f>'[1]Budget - Yrs 2-3'!F36</f>
        <v>24000</v>
      </c>
      <c r="E39" s="69">
        <f t="shared" si="5"/>
        <v>0.0019137229885974004</v>
      </c>
      <c r="F39" s="22">
        <f>'[1]Budget - Yrs 2-3'!L36</f>
        <v>24000</v>
      </c>
      <c r="G39" s="69">
        <f t="shared" si="5"/>
        <v>0.0009084714967067908</v>
      </c>
      <c r="H39" s="23">
        <f>'[1]Assumptions'!L404</f>
        <v>25000</v>
      </c>
      <c r="I39" s="69">
        <f t="shared" si="5"/>
        <v>0.0004956187304230601</v>
      </c>
      <c r="J39" s="22">
        <f>'[1]Assumptions'!M404</f>
        <v>25000</v>
      </c>
      <c r="K39" s="69">
        <f t="shared" si="5"/>
        <v>0.00024508842790478807</v>
      </c>
    </row>
    <row r="40" spans="1:11" ht="15.75" customHeight="1">
      <c r="A40" s="21" t="str">
        <f>'[1]Assumptions'!A387</f>
        <v>Rent Expense                  </v>
      </c>
      <c r="B40" s="22">
        <f>'[1]Budget - Yr 1'!N39</f>
        <v>72000</v>
      </c>
      <c r="C40" s="69">
        <f t="shared" si="5"/>
        <v>0.0166358595194085</v>
      </c>
      <c r="D40" s="31">
        <f>'[1]Budget - Yrs 2-3'!F37</f>
        <v>75600</v>
      </c>
      <c r="E40" s="69">
        <f t="shared" si="5"/>
        <v>0.006028227414081812</v>
      </c>
      <c r="F40" s="22">
        <f>'[1]Budget - Yrs 2-3'!L37</f>
        <v>180000</v>
      </c>
      <c r="G40" s="69">
        <f t="shared" si="5"/>
        <v>0.006813536225300931</v>
      </c>
      <c r="H40" s="23">
        <f>'[1]Assumptions'!L405</f>
        <v>190000</v>
      </c>
      <c r="I40" s="69">
        <f t="shared" si="5"/>
        <v>0.003766702351215257</v>
      </c>
      <c r="J40" s="22">
        <f>'[1]Assumptions'!M405</f>
        <v>200000</v>
      </c>
      <c r="K40" s="69">
        <f t="shared" si="5"/>
        <v>0.0019607074232383045</v>
      </c>
    </row>
    <row r="41" spans="1:11" ht="15.75" customHeight="1">
      <c r="A41" s="21" t="str">
        <f>'[1]Assumptions'!A388</f>
        <v>Utilities                     </v>
      </c>
      <c r="B41" s="22">
        <f>'[1]Budget - Yr 1'!N40</f>
        <v>12000</v>
      </c>
      <c r="C41" s="69">
        <f t="shared" si="5"/>
        <v>0.0027726432532347504</v>
      </c>
      <c r="D41" s="31">
        <f>'[1]Budget - Yrs 2-3'!F38</f>
        <v>4000</v>
      </c>
      <c r="E41" s="69">
        <f t="shared" si="5"/>
        <v>0.0003189538314329001</v>
      </c>
      <c r="F41" s="22">
        <f>'[1]Budget - Yrs 2-3'!L38</f>
        <v>8000</v>
      </c>
      <c r="G41" s="69">
        <f t="shared" si="5"/>
        <v>0.0003028238322355969</v>
      </c>
      <c r="H41" s="23">
        <f>'[1]Assumptions'!L406</f>
        <v>12000</v>
      </c>
      <c r="I41" s="69">
        <f t="shared" si="5"/>
        <v>0.00023789699060306887</v>
      </c>
      <c r="J41" s="22">
        <f>'[1]Assumptions'!M406</f>
        <v>18000</v>
      </c>
      <c r="K41" s="69">
        <f t="shared" si="5"/>
        <v>0.0001764636680914474</v>
      </c>
    </row>
    <row r="42" spans="1:11" ht="15.75" customHeight="1">
      <c r="A42" s="21" t="str">
        <f>'[1]Assumptions'!A389</f>
        <v>Miscellaneous</v>
      </c>
      <c r="B42" s="22">
        <f>'[1]Budget - Yr 1'!N41</f>
        <v>120000</v>
      </c>
      <c r="C42" s="69">
        <f t="shared" si="5"/>
        <v>0.027726432532347505</v>
      </c>
      <c r="D42" s="31">
        <f>'[1]Budget - Yrs 2-3'!F39</f>
        <v>160000</v>
      </c>
      <c r="E42" s="69">
        <f t="shared" si="5"/>
        <v>0.012758153257316003</v>
      </c>
      <c r="F42" s="22">
        <f>'[1]Budget - Yrs 2-3'!L39</f>
        <v>240000</v>
      </c>
      <c r="G42" s="69">
        <f t="shared" si="5"/>
        <v>0.009084714967067909</v>
      </c>
      <c r="H42" s="23">
        <f>'[1]Assumptions'!L407</f>
        <v>300000</v>
      </c>
      <c r="I42" s="69">
        <f t="shared" si="5"/>
        <v>0.005947424765076721</v>
      </c>
      <c r="J42" s="22">
        <f>'[1]Assumptions'!M407</f>
        <v>400000</v>
      </c>
      <c r="K42" s="69">
        <f t="shared" si="5"/>
        <v>0.003921414846476609</v>
      </c>
    </row>
    <row r="43" spans="1:11" ht="15.75" customHeight="1">
      <c r="A43" s="21" t="str">
        <f>'[1]Assumptions'!A390</f>
        <v>Web Maintenance</v>
      </c>
      <c r="B43" s="22">
        <f>'[1]Budget - Yr 1'!N42</f>
        <v>99999.99999999999</v>
      </c>
      <c r="C43" s="90">
        <f t="shared" si="5"/>
        <v>0.023105360443622918</v>
      </c>
      <c r="D43" s="23">
        <v>100000</v>
      </c>
      <c r="E43" s="69">
        <f t="shared" si="5"/>
        <v>0.007973845785822503</v>
      </c>
      <c r="F43" s="22">
        <v>400000</v>
      </c>
      <c r="G43" s="69">
        <f t="shared" si="5"/>
        <v>0.015141191611779847</v>
      </c>
      <c r="H43" s="23">
        <v>500000</v>
      </c>
      <c r="I43" s="69">
        <f t="shared" si="5"/>
        <v>0.009912374608461203</v>
      </c>
      <c r="J43" s="22">
        <v>600000</v>
      </c>
      <c r="K43" s="69">
        <f t="shared" si="5"/>
        <v>0.005882122269714913</v>
      </c>
    </row>
    <row r="44" spans="1:11" ht="16.5" customHeight="1" thickBot="1">
      <c r="A44" s="100" t="s">
        <v>21</v>
      </c>
      <c r="B44" s="45">
        <f>SUM(B$29:B$43)</f>
        <v>3510519.24</v>
      </c>
      <c r="C44" s="70">
        <f>SUM(C30:C43)</f>
        <v>0.6031698798521256</v>
      </c>
      <c r="D44" s="45">
        <f>SUM(D$30:D$43)</f>
        <v>3215119.24</v>
      </c>
      <c r="E44" s="70">
        <f>SUM(E30:E43)</f>
        <v>0.2563686500279085</v>
      </c>
      <c r="F44" s="45">
        <f>SUM(F$30:F$43)</f>
        <v>5238519.24</v>
      </c>
      <c r="G44" s="70">
        <v>1</v>
      </c>
      <c r="H44" s="45">
        <f>SUM(H$30:H$43)</f>
        <v>7354500</v>
      </c>
      <c r="I44" s="70">
        <f>SUM(I30:I43)</f>
        <v>0.14580111811585583</v>
      </c>
      <c r="J44" s="45">
        <f>SUM(J$30:J$43)</f>
        <v>10736500</v>
      </c>
      <c r="K44" s="47">
        <f>SUM(K30:K43)</f>
        <v>0.10525567624799026</v>
      </c>
    </row>
    <row r="45" spans="1:11" s="13" customFormat="1" ht="16.5" customHeight="1" thickTop="1">
      <c r="A45" s="21"/>
      <c r="B45" s="24">
        <f>+'[1]Budget - Yr 1'!N44</f>
        <v>0.3812087784995452</v>
      </c>
      <c r="C45" s="24"/>
      <c r="D45" s="43">
        <f>+'[1]Budget - Yrs 2-3'!F42</f>
        <v>0.19770800229885058</v>
      </c>
      <c r="E45" s="69"/>
      <c r="F45" s="24">
        <f>+'[1]Budget - Yrs 2-3'!L42</f>
        <v>0.17673392803410232</v>
      </c>
      <c r="G45" s="24"/>
      <c r="H45" s="43">
        <f>IF(H$11=0,0,+H44/H$11)</f>
        <v>0.14580111811585583</v>
      </c>
      <c r="I45" s="69"/>
      <c r="J45" s="24">
        <f>IF(J$11=0,0,+J44/J$11)</f>
        <v>0.10525567624799027</v>
      </c>
      <c r="K45" s="24"/>
    </row>
    <row r="46" spans="1:11" s="13" customFormat="1" ht="15.75" customHeight="1">
      <c r="A46" s="79"/>
      <c r="B46" s="24"/>
      <c r="C46" s="24"/>
      <c r="D46" s="43"/>
      <c r="E46" s="69"/>
      <c r="F46" s="24"/>
      <c r="G46" s="24"/>
      <c r="H46" s="43"/>
      <c r="I46" s="69"/>
      <c r="J46" s="24"/>
      <c r="K46" s="24"/>
    </row>
    <row r="47" spans="1:11" ht="15.75" customHeight="1">
      <c r="A47" s="11"/>
      <c r="B47" s="22"/>
      <c r="C47" s="90"/>
      <c r="D47" s="31"/>
      <c r="E47" s="69"/>
      <c r="F47" s="22"/>
      <c r="G47" s="90"/>
      <c r="H47" s="31"/>
      <c r="I47" s="69"/>
      <c r="J47" s="22"/>
      <c r="K47" s="24"/>
    </row>
    <row r="48" spans="1:11" ht="16.5" customHeight="1" thickBot="1">
      <c r="A48" s="52" t="s">
        <v>34</v>
      </c>
      <c r="B48" s="45">
        <f>B11-B22-B44-B18</f>
        <v>-3845317.24</v>
      </c>
      <c r="C48" s="76">
        <f>B48/B11</f>
        <v>-0.8884744085027727</v>
      </c>
      <c r="D48" s="45">
        <f>D11-D22-D44-D18</f>
        <v>231880.75999999978</v>
      </c>
      <c r="E48" s="76">
        <f>IF(D$11=0,0,+D48/D$11)</f>
        <v>0.018489814209393173</v>
      </c>
      <c r="F48" s="45">
        <f>F11-F22-F44-F18</f>
        <v>5463080.76</v>
      </c>
      <c r="G48" s="76">
        <f>IF(F$11=0,0,+F48/F$11)</f>
        <v>0.20679388144446967</v>
      </c>
      <c r="H48" s="45">
        <f>H11-H22-H44-H18</f>
        <v>14643900</v>
      </c>
      <c r="I48" s="76">
        <f>IF(H$11=0,0,+H48/H$11)</f>
        <v>0.29031164505769</v>
      </c>
      <c r="J48" s="45">
        <f>J11-J22-J44-J18</f>
        <v>44721500</v>
      </c>
      <c r="K48" s="54">
        <f>IF(J$11=0,0,+J48/J$11)</f>
        <v>0.43842888514175915</v>
      </c>
    </row>
    <row r="49" spans="1:11" ht="16.5" customHeight="1" thickTop="1">
      <c r="A49" s="55" t="s">
        <v>35</v>
      </c>
      <c r="B49" s="22">
        <v>0</v>
      </c>
      <c r="C49" s="24">
        <f>IF(B$11=0,0,+B49/B$11)</f>
        <v>0</v>
      </c>
      <c r="D49" s="23">
        <f>0.4*D48</f>
        <v>92752.30399999992</v>
      </c>
      <c r="E49" s="69">
        <f>IF(D$11=0,0,+D49/D$11)</f>
        <v>0.00739592568375727</v>
      </c>
      <c r="F49" s="23">
        <f>0.4*F48</f>
        <v>2185232.304</v>
      </c>
      <c r="G49" s="24">
        <f>IF(F$11=0,0,+F49/F$11)</f>
        <v>0.08271755257778787</v>
      </c>
      <c r="H49" s="23">
        <f>0.4*H48</f>
        <v>5857560</v>
      </c>
      <c r="I49" s="69">
        <f>IF(H$11=0,0,+H49/H$11)</f>
        <v>0.116124658023076</v>
      </c>
      <c r="J49" s="23">
        <f>0.4*J48</f>
        <v>17888600</v>
      </c>
      <c r="K49" s="24">
        <f>IF(J$11=0,0,+J49/J$11)</f>
        <v>0.17537155405670365</v>
      </c>
    </row>
    <row r="50" spans="1:11" ht="15.75" customHeight="1">
      <c r="A50" s="57"/>
      <c r="B50" s="22"/>
      <c r="C50" s="24"/>
      <c r="D50" s="23"/>
      <c r="E50" s="69"/>
      <c r="F50" s="22"/>
      <c r="G50" s="24"/>
      <c r="H50" s="23"/>
      <c r="I50" s="69"/>
      <c r="J50" s="22"/>
      <c r="K50" s="31"/>
    </row>
    <row r="51" spans="1:11" ht="16.5" customHeight="1" thickBot="1">
      <c r="A51" s="58" t="s">
        <v>36</v>
      </c>
      <c r="B51" s="59">
        <f>B48-B49</f>
        <v>-3845317.24</v>
      </c>
      <c r="C51" s="83">
        <f>IF(B$11=0,0,+B51/B$11)</f>
        <v>-0.8884744085027727</v>
      </c>
      <c r="D51" s="59">
        <f>D48-D49</f>
        <v>139128.45599999986</v>
      </c>
      <c r="E51" s="83">
        <f>IF(D$11=0,0,+D51/D$11)</f>
        <v>0.011093888525635903</v>
      </c>
      <c r="F51" s="59">
        <f>F48-F49</f>
        <v>3277848.456</v>
      </c>
      <c r="G51" s="83">
        <f>IF(F$11=0,0,+F51/F$11)</f>
        <v>0.1240763288666818</v>
      </c>
      <c r="H51" s="59">
        <f>H48-H49</f>
        <v>8786340</v>
      </c>
      <c r="I51" s="83">
        <f>IF(H$11=0,0,+H51/H$11)</f>
        <v>0.17418698703461402</v>
      </c>
      <c r="J51" s="59">
        <f>J48-J49</f>
        <v>26832900</v>
      </c>
      <c r="K51" s="61">
        <f>IF(J$11=0,0,+J51/J$11)</f>
        <v>0.26305733108505547</v>
      </c>
    </row>
    <row r="52" spans="1:10" s="13" customFormat="1" ht="15.75" customHeight="1">
      <c r="A52" s="101" t="s">
        <v>31</v>
      </c>
      <c r="B52" s="13">
        <f>+'[1]Budget - Yr 1'!N51</f>
        <v>-0.2068508195964839</v>
      </c>
      <c r="D52" s="102">
        <f>+'[1]Budget - Yrs 2-3'!F49</f>
        <v>0.1677890091954023</v>
      </c>
      <c r="E52" s="69"/>
      <c r="F52" s="13">
        <f>+'[1]Budget - Yrs 2-3'!L49</f>
        <v>0.18185789926028081</v>
      </c>
      <c r="G52" s="24"/>
      <c r="H52" s="102">
        <f>IF(H$11=0,0,+H51/H$11)</f>
        <v>0.17418698703461402</v>
      </c>
      <c r="I52" s="81"/>
      <c r="J52" s="13">
        <f>IF(J$11=0,0,+J51/J$11)</f>
        <v>0.26305733108505547</v>
      </c>
    </row>
  </sheetData>
  <printOptions/>
  <pageMargins left="0.75" right="0.75" top="1" bottom="1" header="0.5" footer="0.5"/>
  <pageSetup fitToHeight="1" fitToWidth="1" orientation="landscape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workbookViewId="0" topLeftCell="A10">
      <selection activeCell="B14" sqref="B14"/>
    </sheetView>
  </sheetViews>
  <sheetFormatPr defaultColWidth="11.140625" defaultRowHeight="12.75"/>
  <cols>
    <col min="1" max="1" width="32.140625" style="12" customWidth="1"/>
    <col min="2" max="13" width="11.140625" style="12" customWidth="1"/>
    <col min="14" max="14" width="13.140625" style="12" customWidth="1"/>
    <col min="15" max="15" width="11.140625" style="13" customWidth="1"/>
    <col min="16" max="16384" width="11.140625" style="12" customWidth="1"/>
  </cols>
  <sheetData>
    <row r="1" spans="1:6" ht="22.5" customHeight="1">
      <c r="A1" s="10" t="s">
        <v>41</v>
      </c>
      <c r="B1" s="103" t="s">
        <v>42</v>
      </c>
      <c r="F1" s="104" t="str">
        <f>'[1]Assumptions'!C10</f>
        <v>The All Company</v>
      </c>
    </row>
    <row r="2" spans="1:15" ht="12.75" customHeight="1">
      <c r="A2" s="14">
        <v>37622</v>
      </c>
      <c r="N2" s="15"/>
      <c r="O2" s="105" t="s">
        <v>24</v>
      </c>
    </row>
    <row r="3" spans="1:15" ht="12.75" customHeight="1">
      <c r="A3" s="14"/>
      <c r="N3" s="15"/>
      <c r="O3" s="105"/>
    </row>
    <row r="4" spans="1:15" ht="15.75" customHeight="1">
      <c r="A4" s="106" t="s">
        <v>25</v>
      </c>
      <c r="B4" s="18">
        <v>37622</v>
      </c>
      <c r="C4" s="18">
        <v>37653</v>
      </c>
      <c r="D4" s="18">
        <v>37681</v>
      </c>
      <c r="E4" s="18">
        <v>37712</v>
      </c>
      <c r="F4" s="18">
        <v>37742</v>
      </c>
      <c r="G4" s="18">
        <v>37773</v>
      </c>
      <c r="H4" s="18">
        <v>37803</v>
      </c>
      <c r="I4" s="18">
        <v>37834</v>
      </c>
      <c r="J4" s="18">
        <v>37865</v>
      </c>
      <c r="K4" s="18">
        <v>37895</v>
      </c>
      <c r="L4" s="18">
        <v>37926</v>
      </c>
      <c r="M4" s="18">
        <v>37956</v>
      </c>
      <c r="N4" s="19" t="str">
        <f>'[1]Assumptions'!N$59</f>
        <v>Year 1</v>
      </c>
      <c r="O4" s="107" t="s">
        <v>25</v>
      </c>
    </row>
    <row r="5" spans="1:15" ht="15.75" customHeight="1">
      <c r="A5" s="21" t="str">
        <f>'[1]Budget - Yr 1'!A5</f>
        <v>E-commerce Revenues</v>
      </c>
      <c r="B5" s="22">
        <f>'Budget Yr 1'!B5</f>
        <v>6150</v>
      </c>
      <c r="C5" s="22">
        <f>'Budget Yr 1'!C5</f>
        <v>12300</v>
      </c>
      <c r="D5" s="22">
        <f>'Budget Yr 1'!D5</f>
        <v>18450</v>
      </c>
      <c r="E5" s="22">
        <f>'Budget Yr 1'!E5</f>
        <v>30750</v>
      </c>
      <c r="F5" s="22">
        <f>'Budget Yr 1'!F5</f>
        <v>49200</v>
      </c>
      <c r="G5" s="22">
        <f>'Budget Yr 1'!G5</f>
        <v>73800</v>
      </c>
      <c r="H5" s="22">
        <f>'Budget Yr 1'!H5</f>
        <v>98400</v>
      </c>
      <c r="I5" s="22">
        <f>'Budget Yr 1'!I5</f>
        <v>123000</v>
      </c>
      <c r="J5" s="22">
        <f>'Budget Yr 1'!J5</f>
        <v>159900</v>
      </c>
      <c r="K5" s="22">
        <f>'Budget Yr 1'!K5</f>
        <v>190650</v>
      </c>
      <c r="L5" s="22">
        <f>'Budget Yr 1'!L5</f>
        <v>221400</v>
      </c>
      <c r="M5" s="22">
        <f>'Budget Yr 1'!M5</f>
        <v>246000</v>
      </c>
      <c r="N5" s="23">
        <f>SUM(B5:M5)</f>
        <v>1230000</v>
      </c>
      <c r="O5" s="13">
        <f aca="true" t="shared" si="0" ref="O5:O11">IF(N$11=0,0,N5/N$11)</f>
        <v>0.2841959334565619</v>
      </c>
    </row>
    <row r="6" spans="1:15" ht="15.75" customHeight="1">
      <c r="A6" s="21" t="str">
        <f>'[1]Budget - Yr 1'!A6</f>
        <v>Advertising Sales Revenues</v>
      </c>
      <c r="B6" s="22">
        <f>'Budget Yr 1'!B6</f>
        <v>360</v>
      </c>
      <c r="C6" s="22">
        <f>'Budget Yr 1'!C6</f>
        <v>720</v>
      </c>
      <c r="D6" s="22">
        <f>'Budget Yr 1'!D6</f>
        <v>1080</v>
      </c>
      <c r="E6" s="22">
        <f>'Budget Yr 1'!E6</f>
        <v>1800</v>
      </c>
      <c r="F6" s="22">
        <f>'Budget Yr 1'!F6</f>
        <v>2880</v>
      </c>
      <c r="G6" s="22">
        <f>'Budget Yr 1'!G6</f>
        <v>4320</v>
      </c>
      <c r="H6" s="22">
        <f>'Budget Yr 1'!H6</f>
        <v>5760</v>
      </c>
      <c r="I6" s="22">
        <f>'Budget Yr 1'!I6</f>
        <v>7200</v>
      </c>
      <c r="J6" s="22">
        <f>'Budget Yr 1'!J6</f>
        <v>9360</v>
      </c>
      <c r="K6" s="22">
        <f>'Budget Yr 1'!K6</f>
        <v>11160</v>
      </c>
      <c r="L6" s="22">
        <f>'Budget Yr 1'!L6</f>
        <v>12960</v>
      </c>
      <c r="M6" s="22">
        <f>'Budget Yr 1'!M6</f>
        <v>14400</v>
      </c>
      <c r="N6" s="23">
        <f>SUM(B6:M6)</f>
        <v>72000</v>
      </c>
      <c r="O6" s="13">
        <f t="shared" si="0"/>
        <v>0.0166358595194085</v>
      </c>
    </row>
    <row r="7" spans="1:15" ht="15.75" customHeight="1">
      <c r="A7" s="21" t="str">
        <f>'[1]Budget - Yr 1'!A7</f>
        <v>Membership List Sales Revenues</v>
      </c>
      <c r="B7" s="22">
        <f>'Budget Yr 1'!B7</f>
        <v>70</v>
      </c>
      <c r="C7" s="22">
        <f>'Budget Yr 1'!C7</f>
        <v>140</v>
      </c>
      <c r="D7" s="22">
        <f>'Budget Yr 1'!D7</f>
        <v>210</v>
      </c>
      <c r="E7" s="22">
        <f>'Budget Yr 1'!E7</f>
        <v>350</v>
      </c>
      <c r="F7" s="22">
        <f>'Budget Yr 1'!F7</f>
        <v>560</v>
      </c>
      <c r="G7" s="22">
        <f>'Budget Yr 1'!G7</f>
        <v>840</v>
      </c>
      <c r="H7" s="22">
        <f>'Budget Yr 1'!H7</f>
        <v>1120</v>
      </c>
      <c r="I7" s="22">
        <f>'Budget Yr 1'!I7</f>
        <v>1400</v>
      </c>
      <c r="J7" s="22">
        <f>'Budget Yr 1'!J7</f>
        <v>1820</v>
      </c>
      <c r="K7" s="22">
        <f>'Budget Yr 1'!K7</f>
        <v>2170</v>
      </c>
      <c r="L7" s="22">
        <f>'Budget Yr 1'!L7</f>
        <v>2520</v>
      </c>
      <c r="M7" s="22">
        <f>'Budget Yr 1'!M7</f>
        <v>2800</v>
      </c>
      <c r="N7" s="23">
        <f>SUM(B7:M7)</f>
        <v>14000</v>
      </c>
      <c r="O7" s="13">
        <f t="shared" si="0"/>
        <v>0.003234750462107209</v>
      </c>
    </row>
    <row r="8" spans="1:15" ht="15.75" customHeight="1">
      <c r="A8" s="21" t="str">
        <f>'[1]Budget - Yr 1'!A8</f>
        <v>Publication Revenues</v>
      </c>
      <c r="B8" s="22"/>
      <c r="C8" s="22"/>
      <c r="D8" s="22"/>
      <c r="E8" s="22"/>
      <c r="F8" s="22"/>
      <c r="G8" s="22"/>
      <c r="H8" s="22">
        <f>'Budget Yr 1'!H8</f>
        <v>75600</v>
      </c>
      <c r="I8" s="22">
        <f>'Budget Yr 1'!I8</f>
        <v>120960</v>
      </c>
      <c r="J8" s="22">
        <f>'Budget Yr 1'!J8</f>
        <v>196560</v>
      </c>
      <c r="K8" s="22">
        <f>'Budget Yr 1'!K8</f>
        <v>272160</v>
      </c>
      <c r="L8" s="22">
        <f>'Budget Yr 1'!L8</f>
        <v>378000</v>
      </c>
      <c r="M8" s="22">
        <f>'Budget Yr 1'!M8</f>
        <v>468720</v>
      </c>
      <c r="N8" s="23">
        <f>SUM(B8:M8)</f>
        <v>1512000</v>
      </c>
      <c r="O8" s="13">
        <f t="shared" si="0"/>
        <v>0.34935304990757854</v>
      </c>
    </row>
    <row r="9" spans="1:15" ht="15.75" customHeight="1">
      <c r="A9" s="21" t="str">
        <f>'[1]Budget - Yr 1'!A9</f>
        <v>TV Program Production Revenues</v>
      </c>
      <c r="B9" s="22">
        <f>'Budget Yr 1'!B9</f>
        <v>7500</v>
      </c>
      <c r="C9" s="22">
        <f>'Budget Yr 1'!C9</f>
        <v>15000</v>
      </c>
      <c r="D9" s="22">
        <f>'Budget Yr 1'!D9</f>
        <v>22500</v>
      </c>
      <c r="E9" s="22">
        <f>'Budget Yr 1'!E9</f>
        <v>37500</v>
      </c>
      <c r="F9" s="22">
        <f>'Budget Yr 1'!F9</f>
        <v>60000</v>
      </c>
      <c r="G9" s="22">
        <f>'Budget Yr 1'!G9</f>
        <v>90000</v>
      </c>
      <c r="H9" s="22">
        <f>'Budget Yr 1'!H9</f>
        <v>120000</v>
      </c>
      <c r="I9" s="22">
        <f>'Budget Yr 1'!I9</f>
        <v>150000</v>
      </c>
      <c r="J9" s="22">
        <f>'Budget Yr 1'!J9</f>
        <v>195000</v>
      </c>
      <c r="K9" s="22">
        <f>'Budget Yr 1'!K9</f>
        <v>232500</v>
      </c>
      <c r="L9" s="22">
        <f>'Budget Yr 1'!L9</f>
        <v>270000</v>
      </c>
      <c r="M9" s="22">
        <f>'Budget Yr 1'!M9</f>
        <v>300000</v>
      </c>
      <c r="N9" s="23">
        <f>SUM(B9:M9)</f>
        <v>1500000</v>
      </c>
      <c r="O9" s="13">
        <f t="shared" si="0"/>
        <v>0.3465804066543438</v>
      </c>
    </row>
    <row r="10" spans="1:14" ht="15.75" customHeight="1">
      <c r="A10" s="21" t="s">
        <v>53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3">
        <v>0</v>
      </c>
    </row>
    <row r="11" spans="1:15" ht="16.5" customHeight="1" thickBot="1">
      <c r="A11" s="100" t="str">
        <f>'[1]Budget - Yr 1'!A10</f>
        <v>Total Sales</v>
      </c>
      <c r="B11" s="46">
        <f>SUM(B5:B10)</f>
        <v>14080</v>
      </c>
      <c r="C11" s="46">
        <f>SUM(C5:C10)</f>
        <v>28160</v>
      </c>
      <c r="D11" s="46">
        <f aca="true" t="shared" si="1" ref="D11:M11">SUM(D5:D10)</f>
        <v>42240</v>
      </c>
      <c r="E11" s="46">
        <f t="shared" si="1"/>
        <v>70400</v>
      </c>
      <c r="F11" s="46">
        <f t="shared" si="1"/>
        <v>112640</v>
      </c>
      <c r="G11" s="46">
        <f t="shared" si="1"/>
        <v>168960</v>
      </c>
      <c r="H11" s="46">
        <f t="shared" si="1"/>
        <v>300880</v>
      </c>
      <c r="I11" s="46">
        <f t="shared" si="1"/>
        <v>402560</v>
      </c>
      <c r="J11" s="46">
        <f t="shared" si="1"/>
        <v>562640</v>
      </c>
      <c r="K11" s="46">
        <f t="shared" si="1"/>
        <v>708640</v>
      </c>
      <c r="L11" s="46">
        <f t="shared" si="1"/>
        <v>884880</v>
      </c>
      <c r="M11" s="46">
        <f t="shared" si="1"/>
        <v>1031920</v>
      </c>
      <c r="N11" s="46">
        <f>SUM(B11:M11)</f>
        <v>4328000</v>
      </c>
      <c r="O11" s="108">
        <f t="shared" si="0"/>
        <v>1</v>
      </c>
    </row>
    <row r="12" spans="1:15" ht="16.5" customHeight="1" thickTop="1">
      <c r="A12" s="103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10"/>
      <c r="O12" s="111"/>
    </row>
    <row r="13" spans="1:15" ht="15.75" customHeight="1">
      <c r="A13" s="8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3"/>
      <c r="O13" s="24"/>
    </row>
    <row r="14" spans="1:15" ht="15.75" customHeight="1">
      <c r="A14" s="29" t="s">
        <v>38</v>
      </c>
      <c r="B14" s="22">
        <f>'Budget Yr 1'!B19</f>
        <v>14180</v>
      </c>
      <c r="C14" s="22">
        <f>'Budget Yr 1'!C19</f>
        <v>15860</v>
      </c>
      <c r="D14" s="22">
        <f>'Budget Yr 1'!D19</f>
        <v>17540</v>
      </c>
      <c r="E14" s="22">
        <f>'Budget Yr 1'!E19</f>
        <v>20900</v>
      </c>
      <c r="F14" s="22">
        <f>'Budget Yr 1'!F19</f>
        <v>25940</v>
      </c>
      <c r="G14" s="22">
        <f>'Budget Yr 1'!G19</f>
        <v>32660</v>
      </c>
      <c r="H14" s="22">
        <f>'Budget Yr 1'!H19</f>
        <v>215353</v>
      </c>
      <c r="I14" s="22">
        <f>'Budget Yr 1'!I19</f>
        <v>227257</v>
      </c>
      <c r="J14" s="22">
        <f>'Budget Yr 1'!J19</f>
        <v>245977</v>
      </c>
      <c r="K14" s="22">
        <f>'Budget Yr 1'!K19</f>
        <v>263017</v>
      </c>
      <c r="L14" s="22">
        <f>'Budget Yr 1'!L19</f>
        <v>283513</v>
      </c>
      <c r="M14" s="22">
        <f>'Budget Yr 1'!M19</f>
        <v>300601</v>
      </c>
      <c r="N14" s="23">
        <f>SUM(B14:M14)</f>
        <v>1662798</v>
      </c>
      <c r="O14" s="13">
        <f aca="true" t="shared" si="2" ref="O14:O20">IF(N$11=0,0,N14/N$11)</f>
        <v>0.38419547134935306</v>
      </c>
    </row>
    <row r="15" spans="1:14" ht="16.5" customHeight="1">
      <c r="A15" s="42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43"/>
    </row>
    <row r="16" spans="1:15" ht="15.75" customHeight="1">
      <c r="A16" s="49" t="s">
        <v>28</v>
      </c>
      <c r="B16" s="22">
        <f>'[1]Budget - Yr 1'!B22</f>
        <v>250000</v>
      </c>
      <c r="C16" s="22">
        <f>'[1]Budget - Yr 1'!C22</f>
        <v>250000</v>
      </c>
      <c r="D16" s="22">
        <f>'[1]Budget - Yr 1'!D22</f>
        <v>250000</v>
      </c>
      <c r="E16" s="22">
        <f>'[1]Budget - Yr 1'!E22</f>
        <v>250000</v>
      </c>
      <c r="F16" s="22">
        <f>'[1]Budget - Yr 1'!F22</f>
        <v>250000</v>
      </c>
      <c r="G16" s="22">
        <f>'[1]Budget - Yr 1'!G22</f>
        <v>250000</v>
      </c>
      <c r="H16" s="22">
        <f>'[1]Budget - Yr 1'!H22</f>
        <v>250000</v>
      </c>
      <c r="I16" s="22">
        <f>'[1]Budget - Yr 1'!I22</f>
        <v>250000</v>
      </c>
      <c r="J16" s="22">
        <f>'[1]Budget - Yr 1'!J22</f>
        <v>250000</v>
      </c>
      <c r="K16" s="22">
        <f>'[1]Budget - Yr 1'!K22</f>
        <v>250000</v>
      </c>
      <c r="L16" s="22">
        <f>'[1]Budget - Yr 1'!L22</f>
        <v>250000</v>
      </c>
      <c r="M16" s="22">
        <f>'[1]Budget - Yr 1'!M22</f>
        <v>250000</v>
      </c>
      <c r="N16" s="23">
        <f>SUM(B16:M16)</f>
        <v>3000000</v>
      </c>
      <c r="O16" s="13">
        <f t="shared" si="2"/>
        <v>0.6931608133086876</v>
      </c>
    </row>
    <row r="17" spans="1:14" ht="15.75" customHeight="1">
      <c r="A17" s="11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3"/>
    </row>
    <row r="18" spans="1:15" ht="15.75" customHeight="1">
      <c r="A18" s="49" t="s">
        <v>43</v>
      </c>
      <c r="B18" s="22">
        <v>1117543</v>
      </c>
      <c r="C18" s="22">
        <f>'[1]Budget - Yr 1'!C43</f>
        <v>217543.27</v>
      </c>
      <c r="D18" s="22">
        <f>'[1]Budget - Yr 1'!D43</f>
        <v>217543.27</v>
      </c>
      <c r="E18" s="22">
        <f>'[1]Budget - Yr 1'!E43</f>
        <v>217543.27</v>
      </c>
      <c r="F18" s="22">
        <f>'[1]Budget - Yr 1'!F43</f>
        <v>217543.27</v>
      </c>
      <c r="G18" s="22">
        <f>'[1]Budget - Yr 1'!G43</f>
        <v>217543.27</v>
      </c>
      <c r="H18" s="22">
        <f>'[1]Budget - Yr 1'!H43</f>
        <v>217543.27</v>
      </c>
      <c r="I18" s="22">
        <f>'[1]Budget - Yr 1'!I43</f>
        <v>217543.27</v>
      </c>
      <c r="J18" s="22">
        <f>'[1]Budget - Yr 1'!J43</f>
        <v>217543.27</v>
      </c>
      <c r="K18" s="22">
        <f>'[1]Budget - Yr 1'!K43</f>
        <v>217543.27</v>
      </c>
      <c r="L18" s="22">
        <f>'[1]Budget - Yr 1'!L43</f>
        <v>217543.27</v>
      </c>
      <c r="M18" s="33">
        <f>'[1]Budget - Yr 1'!M43</f>
        <v>217543.27</v>
      </c>
      <c r="N18" s="22">
        <v>3410519</v>
      </c>
      <c r="O18" s="13">
        <f t="shared" si="2"/>
        <v>0.788012707948244</v>
      </c>
    </row>
    <row r="19" spans="1:15" ht="15.75" customHeight="1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3"/>
      <c r="O19" s="13" t="s">
        <v>44</v>
      </c>
    </row>
    <row r="20" spans="1:16" ht="15.75" customHeight="1">
      <c r="A20" s="106" t="s">
        <v>34</v>
      </c>
      <c r="B20" s="22">
        <f>B11-B14-B16-B18</f>
        <v>-1367643</v>
      </c>
      <c r="C20" s="22">
        <f aca="true" t="shared" si="3" ref="C20:N20">C11-C14-C16-C18</f>
        <v>-455243.27</v>
      </c>
      <c r="D20" s="22">
        <f t="shared" si="3"/>
        <v>-442843.27</v>
      </c>
      <c r="E20" s="22">
        <f t="shared" si="3"/>
        <v>-418043.27</v>
      </c>
      <c r="F20" s="22">
        <f t="shared" si="3"/>
        <v>-380843.27</v>
      </c>
      <c r="G20" s="22">
        <f t="shared" si="3"/>
        <v>-331243.27</v>
      </c>
      <c r="H20" s="22">
        <f t="shared" si="3"/>
        <v>-382016.27</v>
      </c>
      <c r="I20" s="22">
        <f t="shared" si="3"/>
        <v>-292240.27</v>
      </c>
      <c r="J20" s="22">
        <f t="shared" si="3"/>
        <v>-150880.27</v>
      </c>
      <c r="K20" s="22">
        <f t="shared" si="3"/>
        <v>-21920.26999999999</v>
      </c>
      <c r="L20" s="22">
        <f t="shared" si="3"/>
        <v>133823.73</v>
      </c>
      <c r="M20" s="22">
        <f t="shared" si="3"/>
        <v>263775.73</v>
      </c>
      <c r="N20" s="22">
        <f t="shared" si="3"/>
        <v>-3745317</v>
      </c>
      <c r="O20" s="13">
        <f t="shared" si="2"/>
        <v>-0.8653689926062846</v>
      </c>
      <c r="P20" s="22"/>
    </row>
    <row r="21" spans="1:15" ht="15.75" customHeight="1">
      <c r="A21" s="21" t="s">
        <v>45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3"/>
      <c r="O21" s="24"/>
    </row>
    <row r="22" spans="1:15" ht="16.5" customHeight="1" thickBot="1">
      <c r="A22" s="113" t="str">
        <f>'[1]Budget - Yr 1'!$A$50</f>
        <v>Net Income After Taxes </v>
      </c>
      <c r="B22" s="59">
        <f>B20-B21</f>
        <v>-1367643</v>
      </c>
      <c r="C22" s="59">
        <f aca="true" t="shared" si="4" ref="C22:M22">C20-C21</f>
        <v>-455243.27</v>
      </c>
      <c r="D22" s="59">
        <f t="shared" si="4"/>
        <v>-442843.27</v>
      </c>
      <c r="E22" s="59">
        <f t="shared" si="4"/>
        <v>-418043.27</v>
      </c>
      <c r="F22" s="59">
        <f t="shared" si="4"/>
        <v>-380843.27</v>
      </c>
      <c r="G22" s="59">
        <f t="shared" si="4"/>
        <v>-331243.27</v>
      </c>
      <c r="H22" s="59">
        <f t="shared" si="4"/>
        <v>-382016.27</v>
      </c>
      <c r="I22" s="59">
        <f t="shared" si="4"/>
        <v>-292240.27</v>
      </c>
      <c r="J22" s="59">
        <f t="shared" si="4"/>
        <v>-150880.27</v>
      </c>
      <c r="K22" s="59">
        <f t="shared" si="4"/>
        <v>-21920.26999999999</v>
      </c>
      <c r="L22" s="59">
        <f t="shared" si="4"/>
        <v>133823.73</v>
      </c>
      <c r="M22" s="59">
        <f t="shared" si="4"/>
        <v>263775.73</v>
      </c>
      <c r="N22" s="60">
        <f>SUM(B22:M22)</f>
        <v>-3845316.9699999997</v>
      </c>
      <c r="O22" s="114">
        <f>IF(N$11=0,0,N22/N$11)</f>
        <v>-0.8884743461182993</v>
      </c>
    </row>
    <row r="23" spans="1:15" s="13" customFormat="1" ht="15.75" customHeight="1">
      <c r="A23" s="115" t="str">
        <f>'[1]Budget - Yr 1'!A51</f>
        <v>   % of Total Sales</v>
      </c>
      <c r="B23" s="24">
        <f aca="true" t="shared" si="5" ref="B23:N23">IF(B$11=0,0,B22/B$11)</f>
        <v>-97.13373579545454</v>
      </c>
      <c r="C23" s="24">
        <f t="shared" si="5"/>
        <v>-16.166309303977272</v>
      </c>
      <c r="D23" s="24">
        <f t="shared" si="5"/>
        <v>-10.483978929924243</v>
      </c>
      <c r="E23" s="24">
        <f t="shared" si="5"/>
        <v>-5.938114630681818</v>
      </c>
      <c r="F23" s="24">
        <f t="shared" si="5"/>
        <v>-3.3810659623579546</v>
      </c>
      <c r="G23" s="24">
        <f t="shared" si="5"/>
        <v>-1.960483368844697</v>
      </c>
      <c r="H23" s="24">
        <f t="shared" si="5"/>
        <v>-1.2696632212177612</v>
      </c>
      <c r="I23" s="24">
        <f t="shared" si="5"/>
        <v>-0.7259545657790144</v>
      </c>
      <c r="J23" s="24">
        <f t="shared" si="5"/>
        <v>-0.26816484786008815</v>
      </c>
      <c r="K23" s="24">
        <f t="shared" si="5"/>
        <v>-0.030932871415669437</v>
      </c>
      <c r="L23" s="24">
        <f t="shared" si="5"/>
        <v>0.15123376050989967</v>
      </c>
      <c r="M23" s="24">
        <f t="shared" si="5"/>
        <v>0.2556164528258004</v>
      </c>
      <c r="N23" s="43">
        <f t="shared" si="5"/>
        <v>-0.8884743461182993</v>
      </c>
      <c r="O23" s="24"/>
    </row>
  </sheetData>
  <printOptions/>
  <pageMargins left="0.75" right="0.75" top="1" bottom="1" header="0.5" footer="0.5"/>
  <pageSetup fitToHeight="1" fitToWidth="1" orientation="landscape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workbookViewId="0" topLeftCell="G1">
      <selection activeCell="D11" sqref="D11"/>
    </sheetView>
  </sheetViews>
  <sheetFormatPr defaultColWidth="11.140625" defaultRowHeight="12.75"/>
  <cols>
    <col min="1" max="1" width="36.00390625" style="12" bestFit="1" customWidth="1"/>
    <col min="2" max="2" width="12.7109375" style="12" customWidth="1"/>
    <col min="3" max="3" width="12.421875" style="12" customWidth="1"/>
    <col min="4" max="4" width="14.28125" style="12" customWidth="1"/>
    <col min="5" max="5" width="13.140625" style="12" customWidth="1"/>
    <col min="6" max="6" width="12.421875" style="12" customWidth="1"/>
    <col min="7" max="7" width="11.140625" style="13" customWidth="1"/>
    <col min="8" max="8" width="15.28125" style="12" customWidth="1"/>
    <col min="9" max="9" width="12.8515625" style="12" customWidth="1"/>
    <col min="10" max="10" width="12.140625" style="12" customWidth="1"/>
    <col min="11" max="11" width="13.140625" style="12" customWidth="1"/>
    <col min="12" max="12" width="13.00390625" style="12" customWidth="1"/>
    <col min="13" max="13" width="16.00390625" style="13" bestFit="1" customWidth="1"/>
    <col min="14" max="16384" width="11.140625" style="12" customWidth="1"/>
  </cols>
  <sheetData>
    <row r="1" spans="1:6" ht="22.5" customHeight="1">
      <c r="A1" s="10" t="s">
        <v>41</v>
      </c>
      <c r="B1" s="66"/>
      <c r="C1" s="11" t="s">
        <v>46</v>
      </c>
      <c r="F1" s="104" t="str">
        <f>'[1]Assumptions'!C10</f>
        <v>The All Company</v>
      </c>
    </row>
    <row r="2" spans="1:13" ht="18" customHeight="1">
      <c r="A2" s="14">
        <v>37622</v>
      </c>
      <c r="B2" s="66"/>
      <c r="C2" s="116"/>
      <c r="M2" s="105"/>
    </row>
    <row r="3" spans="1:13" ht="18.75" customHeight="1">
      <c r="A3" s="14"/>
      <c r="B3" s="66"/>
      <c r="C3" s="116"/>
      <c r="F3" s="117"/>
      <c r="G3" s="118" t="s">
        <v>24</v>
      </c>
      <c r="L3" s="15"/>
      <c r="M3" s="105" t="s">
        <v>24</v>
      </c>
    </row>
    <row r="4" spans="1:13" ht="15.75" customHeight="1">
      <c r="A4" s="106" t="s">
        <v>25</v>
      </c>
      <c r="B4" s="18" t="str">
        <f>'[1]Assumptions'!B$76</f>
        <v>Q1-Yr2</v>
      </c>
      <c r="C4" s="18" t="str">
        <f>'[1]Assumptions'!C$76</f>
        <v>Q2-Yr2</v>
      </c>
      <c r="D4" s="18" t="str">
        <f>'[1]Assumptions'!D$76</f>
        <v>Q3-Yr2</v>
      </c>
      <c r="E4" s="18" t="str">
        <f>'[1]Assumptions'!E$76</f>
        <v>Q4-Yr2</v>
      </c>
      <c r="F4" s="19" t="str">
        <f>'[1]Assumptions'!F$76</f>
        <v>Year 2</v>
      </c>
      <c r="G4" s="119" t="s">
        <v>25</v>
      </c>
      <c r="H4" s="18" t="str">
        <f>'[1]Assumptions'!G$76</f>
        <v>Q1-Yr3</v>
      </c>
      <c r="I4" s="18" t="str">
        <f>'[1]Assumptions'!H$76</f>
        <v>Q2-Yr3</v>
      </c>
      <c r="J4" s="18" t="str">
        <f>'[1]Assumptions'!I$76</f>
        <v>Q3-Yr3</v>
      </c>
      <c r="K4" s="18" t="str">
        <f>'[1]Assumptions'!J$76</f>
        <v>Q4-Yr3</v>
      </c>
      <c r="L4" s="19" t="str">
        <f>'[1]Assumptions'!K$76</f>
        <v>Year 3</v>
      </c>
      <c r="M4" s="107" t="s">
        <v>25</v>
      </c>
    </row>
    <row r="5" spans="1:13" ht="15.75" customHeight="1">
      <c r="A5" s="21" t="str">
        <f>'[1]Budget - Yr 1'!A5</f>
        <v>E-commerce Revenues</v>
      </c>
      <c r="B5" s="22">
        <f>'[1]Budget - Yrs 2-3'!B6</f>
        <v>847500</v>
      </c>
      <c r="C5" s="22">
        <f>'[1]Budget - Yrs 2-3'!C6</f>
        <v>847500</v>
      </c>
      <c r="D5" s="22">
        <f>'[1]Budget - Yrs 2-3'!D6</f>
        <v>847500</v>
      </c>
      <c r="E5" s="22">
        <f>'[1]Budget - Yrs 2-3'!E6</f>
        <v>847500</v>
      </c>
      <c r="F5" s="23">
        <f>'[1]Budget - Yrs 2-3'!F6</f>
        <v>3390000</v>
      </c>
      <c r="G5" s="81">
        <f aca="true" t="shared" si="0" ref="G5:G11">IF(F$11=0,0,+F5/F$11)</f>
        <v>0.27031337213938283</v>
      </c>
      <c r="H5" s="22">
        <f>'[1]Budget - Yrs 2-3'!H6</f>
        <v>1942500</v>
      </c>
      <c r="I5" s="22">
        <f>'[1]Budget - Yrs 2-3'!I6</f>
        <v>1942500</v>
      </c>
      <c r="J5" s="22">
        <f>'[1]Budget - Yrs 2-3'!J6</f>
        <v>1942500</v>
      </c>
      <c r="K5" s="22">
        <f>'[1]Budget - Yrs 2-3'!K6</f>
        <v>1942500</v>
      </c>
      <c r="L5" s="23">
        <f>'[1]Budget - Yrs 2-3'!L6</f>
        <v>7770000</v>
      </c>
      <c r="M5" s="13">
        <f>IF(L$11=0,0,+L5/L$11)</f>
        <v>0.29411764705882354</v>
      </c>
    </row>
    <row r="6" spans="1:13" ht="15.75" customHeight="1">
      <c r="A6" s="21" t="str">
        <f>'[1]Budget - Yr 1'!A6</f>
        <v>Advertising Sales Revenues</v>
      </c>
      <c r="B6" s="22">
        <f>'[1]Budget - Yrs 2-3'!B7</f>
        <v>54000</v>
      </c>
      <c r="C6" s="22">
        <f>'[1]Budget - Yrs 2-3'!C7</f>
        <v>54000</v>
      </c>
      <c r="D6" s="22">
        <f>'[1]Budget - Yrs 2-3'!D7</f>
        <v>54000</v>
      </c>
      <c r="E6" s="22">
        <f>'[1]Budget - Yrs 2-3'!E7</f>
        <v>54000</v>
      </c>
      <c r="F6" s="23">
        <f>'[1]Budget - Yrs 2-3'!F7</f>
        <v>216000</v>
      </c>
      <c r="G6" s="81">
        <f t="shared" si="0"/>
        <v>0.017223506897376603</v>
      </c>
      <c r="H6" s="22">
        <f>'[1]Budget - Yrs 2-3'!H7</f>
        <v>180000</v>
      </c>
      <c r="I6" s="22">
        <f>'[1]Budget - Yrs 2-3'!I7</f>
        <v>180000</v>
      </c>
      <c r="J6" s="22">
        <f>'[1]Budget - Yrs 2-3'!J7</f>
        <v>180000</v>
      </c>
      <c r="K6" s="22">
        <f>'[1]Budget - Yrs 2-3'!K7</f>
        <v>180000</v>
      </c>
      <c r="L6" s="23">
        <f>'[1]Budget - Yrs 2-3'!L7</f>
        <v>720000</v>
      </c>
      <c r="M6" s="13">
        <f>IF(L$11=0,0,+L6/L$11)</f>
        <v>0.027254144901203724</v>
      </c>
    </row>
    <row r="7" spans="1:13" ht="15.75" customHeight="1">
      <c r="A7" s="21" t="str">
        <f>'[1]Budget - Yr 1'!A7</f>
        <v>Membership List Sales Revenues</v>
      </c>
      <c r="B7" s="22">
        <f>49000/4</f>
        <v>12250</v>
      </c>
      <c r="C7" s="22">
        <f>49000/4</f>
        <v>12250</v>
      </c>
      <c r="D7" s="22">
        <f>49000/4</f>
        <v>12250</v>
      </c>
      <c r="E7" s="22">
        <f>49000/4</f>
        <v>12250</v>
      </c>
      <c r="F7" s="23">
        <f>SUM(B7:E7)</f>
        <v>49000</v>
      </c>
      <c r="G7" s="81">
        <f t="shared" si="0"/>
        <v>0.003907184435053026</v>
      </c>
      <c r="H7" s="22">
        <f>126000/4</f>
        <v>31500</v>
      </c>
      <c r="I7" s="22">
        <f>126000/4</f>
        <v>31500</v>
      </c>
      <c r="J7" s="22">
        <f>126000/4</f>
        <v>31500</v>
      </c>
      <c r="K7" s="22">
        <f>126000/4</f>
        <v>31500</v>
      </c>
      <c r="L7" s="23">
        <f>SUM(H7:K7)</f>
        <v>126000</v>
      </c>
      <c r="M7" s="13">
        <f>IF(L$11=0,0,+L7/L$11)</f>
        <v>0.0047694753577106515</v>
      </c>
    </row>
    <row r="8" spans="1:12" ht="15.75" customHeight="1">
      <c r="A8" s="21" t="str">
        <f>'[1]Budget - Yr 1'!A8</f>
        <v>Publication Revenues</v>
      </c>
      <c r="B8" s="22">
        <v>1344000</v>
      </c>
      <c r="C8" s="22">
        <v>1344000</v>
      </c>
      <c r="D8" s="22">
        <v>1344000</v>
      </c>
      <c r="E8" s="22">
        <v>1344000</v>
      </c>
      <c r="F8" s="23">
        <f>SUM(B8:E8)</f>
        <v>5376000</v>
      </c>
      <c r="G8" s="81">
        <f t="shared" si="0"/>
        <v>0.4286739494458177</v>
      </c>
      <c r="H8" s="22">
        <v>2688000</v>
      </c>
      <c r="I8" s="22">
        <v>2688000</v>
      </c>
      <c r="J8" s="22">
        <v>2688000</v>
      </c>
      <c r="K8" s="22">
        <v>2688000</v>
      </c>
      <c r="L8" s="23">
        <f>SUM(H8:K8)</f>
        <v>10752000</v>
      </c>
    </row>
    <row r="9" spans="1:12" ht="15.75" customHeight="1">
      <c r="A9" s="21" t="str">
        <f>'[1]Budget - Yr 1'!A9</f>
        <v>TV Program Production Revenues</v>
      </c>
      <c r="B9" s="22">
        <f>'[1]Budget - Yrs 2-3'!B10</f>
        <v>750000</v>
      </c>
      <c r="C9" s="22">
        <f>'[1]Budget - Yrs 2-3'!C10</f>
        <v>750000</v>
      </c>
      <c r="D9" s="22">
        <f>'[1]Budget - Yrs 2-3'!D10</f>
        <v>750000</v>
      </c>
      <c r="E9" s="22">
        <f>'[1]Budget - Yrs 2-3'!E10</f>
        <v>750000</v>
      </c>
      <c r="F9" s="23">
        <f>'[1]Budget - Yrs 2-3'!F10</f>
        <v>3000000</v>
      </c>
      <c r="G9" s="81">
        <f t="shared" si="0"/>
        <v>0.23921537357467507</v>
      </c>
      <c r="H9" s="22">
        <f>'[1]Budget - Yrs 2-3'!H10</f>
        <v>1125000</v>
      </c>
      <c r="I9" s="22">
        <f>'[1]Budget - Yrs 2-3'!I10</f>
        <v>1125000</v>
      </c>
      <c r="J9" s="22">
        <f>'[1]Budget - Yrs 2-3'!J10</f>
        <v>1125000</v>
      </c>
      <c r="K9" s="22">
        <f>'[1]Budget - Yrs 2-3'!K10</f>
        <v>1125000</v>
      </c>
      <c r="L9" s="23">
        <f>'[1]Budget - Yrs 2-3'!L10</f>
        <v>4500000</v>
      </c>
    </row>
    <row r="10" spans="1:12" ht="15.75" customHeight="1">
      <c r="A10" s="21" t="s">
        <v>53</v>
      </c>
      <c r="B10" s="22">
        <f>510000/4</f>
        <v>127500</v>
      </c>
      <c r="C10" s="22">
        <f>510000/4</f>
        <v>127500</v>
      </c>
      <c r="D10" s="22">
        <f>510000/4</f>
        <v>127500</v>
      </c>
      <c r="E10" s="22">
        <f>510000/4</f>
        <v>127500</v>
      </c>
      <c r="F10" s="23">
        <f>SUM(B10:E10)</f>
        <v>510000</v>
      </c>
      <c r="G10" s="81">
        <f t="shared" si="0"/>
        <v>0.04066661350769476</v>
      </c>
      <c r="H10" s="22">
        <f>2550000/4</f>
        <v>637500</v>
      </c>
      <c r="I10" s="22">
        <f>2550000/4</f>
        <v>637500</v>
      </c>
      <c r="J10" s="22">
        <f>2550000/4</f>
        <v>637500</v>
      </c>
      <c r="K10" s="22">
        <f>2550000/4</f>
        <v>637500</v>
      </c>
      <c r="L10" s="23">
        <f>SUM(H10:K10)</f>
        <v>2550000</v>
      </c>
    </row>
    <row r="11" spans="1:13" ht="16.5" customHeight="1" thickBot="1">
      <c r="A11" s="100" t="str">
        <f>'[1]Budget - Yr 1'!A10</f>
        <v>Total Sales</v>
      </c>
      <c r="B11" s="53">
        <f>SUM(B5:B10)</f>
        <v>3135250</v>
      </c>
      <c r="C11" s="53">
        <f>SUM(C5:C10)</f>
        <v>3135250</v>
      </c>
      <c r="D11" s="53">
        <f>SUM(D5:D10)</f>
        <v>3135250</v>
      </c>
      <c r="E11" s="135">
        <f>SUM(E5:E10)</f>
        <v>3135250</v>
      </c>
      <c r="F11" s="53">
        <f>SUM(F5:F10)</f>
        <v>12541000</v>
      </c>
      <c r="G11" s="120">
        <f t="shared" si="0"/>
        <v>1</v>
      </c>
      <c r="H11" s="53">
        <f>SUM(H5:H10)</f>
        <v>6604500</v>
      </c>
      <c r="I11" s="53">
        <f>SUM(I5:I10)</f>
        <v>6604500</v>
      </c>
      <c r="J11" s="53">
        <f>SUM(J5:J10)</f>
        <v>6604500</v>
      </c>
      <c r="K11" s="53">
        <f>SUM(K5:K10)</f>
        <v>6604500</v>
      </c>
      <c r="L11" s="51">
        <f>SUM(L5:L10)</f>
        <v>26418000</v>
      </c>
      <c r="M11" s="121">
        <f>IF(L$11=0,0,+L11/L$11)</f>
        <v>1</v>
      </c>
    </row>
    <row r="12" spans="1:13" ht="16.5" customHeight="1" thickTop="1">
      <c r="A12" s="103"/>
      <c r="B12" s="31"/>
      <c r="C12" s="31"/>
      <c r="D12" s="31"/>
      <c r="E12" s="31"/>
      <c r="F12" s="23"/>
      <c r="G12" s="81"/>
      <c r="H12" s="31"/>
      <c r="I12" s="31"/>
      <c r="J12" s="31"/>
      <c r="K12" s="31"/>
      <c r="L12" s="23"/>
      <c r="M12" s="122"/>
    </row>
    <row r="13" spans="1:13" s="13" customFormat="1" ht="16.5" customHeight="1">
      <c r="A13" s="123"/>
      <c r="B13" s="24"/>
      <c r="C13" s="24"/>
      <c r="D13" s="24"/>
      <c r="E13" s="24"/>
      <c r="F13" s="43"/>
      <c r="G13" s="69"/>
      <c r="H13" s="24"/>
      <c r="I13" s="24"/>
      <c r="J13" s="24"/>
      <c r="K13" s="24"/>
      <c r="L13" s="43"/>
      <c r="M13" s="24"/>
    </row>
    <row r="14" spans="1:13" ht="15.75" customHeight="1">
      <c r="A14" s="29" t="s">
        <v>38</v>
      </c>
      <c r="B14" s="22">
        <f>'[1]Assumptions'!B230</f>
        <v>1023500</v>
      </c>
      <c r="C14" s="22">
        <f>'[1]Assumptions'!C230</f>
        <v>1023500</v>
      </c>
      <c r="D14" s="22">
        <f>'[1]Assumptions'!D230</f>
        <v>1023500</v>
      </c>
      <c r="E14" s="22">
        <f>'[1]Assumptions'!E230</f>
        <v>1023500</v>
      </c>
      <c r="F14" s="23">
        <f>SUM(B14:E14)</f>
        <v>4094000</v>
      </c>
      <c r="G14" s="81">
        <f>IF(F$11=0,0,+F14/F$11)</f>
        <v>0.32644924647157325</v>
      </c>
      <c r="H14" s="73">
        <f>'[1]Assumptions'!G230</f>
        <v>1429100</v>
      </c>
      <c r="I14" s="73">
        <f>'[1]Assumptions'!H230</f>
        <v>1429100</v>
      </c>
      <c r="J14" s="73">
        <f>'[1]Assumptions'!I230</f>
        <v>1429100</v>
      </c>
      <c r="K14" s="73">
        <f>'[1]Assumptions'!J230</f>
        <v>1429100</v>
      </c>
      <c r="L14" s="74">
        <f>SUM(H14:K14)</f>
        <v>5716400</v>
      </c>
      <c r="M14" s="13">
        <f>IF(L$11=0,0,+L14/L$11)</f>
        <v>0.2163827693239458</v>
      </c>
    </row>
    <row r="15" spans="1:13" s="13" customFormat="1" ht="16.5" customHeight="1">
      <c r="A15" s="79"/>
      <c r="B15" s="24"/>
      <c r="C15" s="24"/>
      <c r="D15" s="24"/>
      <c r="E15" s="69"/>
      <c r="F15" s="24"/>
      <c r="G15" s="69"/>
      <c r="H15" s="24"/>
      <c r="I15" s="24"/>
      <c r="J15" s="24"/>
      <c r="K15" s="24"/>
      <c r="L15" s="43"/>
      <c r="M15" s="24"/>
    </row>
    <row r="16" spans="1:13" ht="15.75" customHeight="1">
      <c r="A16" s="49" t="s">
        <v>28</v>
      </c>
      <c r="B16" s="22">
        <f>'[1]Budget - Yrs 2-3'!B22</f>
        <v>1250000</v>
      </c>
      <c r="C16" s="22">
        <f>'[1]Budget - Yrs 2-3'!C22</f>
        <v>1250000</v>
      </c>
      <c r="D16" s="22">
        <f>'[1]Budget - Yrs 2-3'!D22</f>
        <v>1250000</v>
      </c>
      <c r="E16" s="22">
        <f>'[1]Budget - Yrs 2-3'!E22</f>
        <v>1250000</v>
      </c>
      <c r="F16" s="23">
        <f>'[1]Budget - Yrs 2-3'!F22</f>
        <v>5000000</v>
      </c>
      <c r="G16" s="81">
        <f>IF(F$11=0,0,+F16/F$11)</f>
        <v>0.3986922892911251</v>
      </c>
      <c r="H16" s="22">
        <f>'[1]Budget - Yrs 2-3'!H22</f>
        <v>2500000</v>
      </c>
      <c r="I16" s="22">
        <f>'[1]Budget - Yrs 2-3'!I22</f>
        <v>2500000</v>
      </c>
      <c r="J16" s="22">
        <f>'[1]Budget - Yrs 2-3'!J22</f>
        <v>2500000</v>
      </c>
      <c r="K16" s="22">
        <f>'[1]Budget - Yrs 2-3'!K22</f>
        <v>2500000</v>
      </c>
      <c r="L16" s="23">
        <f>'[1]Budget - Yrs 2-3'!L22</f>
        <v>10000000</v>
      </c>
      <c r="M16" s="13">
        <f>IF(L$11=0,0,+L16/L$11)</f>
        <v>0.3785297902944962</v>
      </c>
    </row>
    <row r="17" spans="1:12" ht="15.75" customHeight="1">
      <c r="A17" s="112"/>
      <c r="B17" s="22"/>
      <c r="C17" s="22"/>
      <c r="D17" s="22"/>
      <c r="E17" s="22"/>
      <c r="F17" s="23"/>
      <c r="G17" s="81"/>
      <c r="H17" s="22"/>
      <c r="I17" s="22"/>
      <c r="J17" s="22"/>
      <c r="K17" s="22"/>
      <c r="L17" s="23"/>
    </row>
    <row r="18" spans="1:13" ht="15.75" customHeight="1">
      <c r="A18" s="49" t="s">
        <v>47</v>
      </c>
      <c r="B18" s="22">
        <f>'[1]Budget - Yrs 2-3'!B41</f>
        <v>803779.81</v>
      </c>
      <c r="C18" s="22">
        <f>'[1]Budget - Yrs 2-3'!C41</f>
        <v>803779.81</v>
      </c>
      <c r="D18" s="22">
        <f>'[1]Budget - Yrs 2-3'!D41</f>
        <v>803779.81</v>
      </c>
      <c r="E18" s="22">
        <f>3215119/4</f>
        <v>803779.75</v>
      </c>
      <c r="F18" s="23">
        <v>3215119</v>
      </c>
      <c r="G18" s="81">
        <f>IF(F$11=0,0,+F18/F$11)</f>
        <v>0.2563686308906786</v>
      </c>
      <c r="H18" s="22">
        <v>1309630</v>
      </c>
      <c r="I18" s="22">
        <v>1309630</v>
      </c>
      <c r="J18" s="22">
        <v>1309630</v>
      </c>
      <c r="K18" s="22">
        <f>5238519/4</f>
        <v>1309629.75</v>
      </c>
      <c r="L18" s="23">
        <v>5238519</v>
      </c>
      <c r="M18" s="13">
        <f>IF(L$11=0,0,+L18/L$11)</f>
        <v>0.19829354985237338</v>
      </c>
    </row>
    <row r="19" spans="1:13" s="13" customFormat="1" ht="16.5" customHeight="1">
      <c r="A19" s="115"/>
      <c r="B19" s="24"/>
      <c r="C19" s="24"/>
      <c r="D19" s="24"/>
      <c r="E19" s="24"/>
      <c r="F19" s="43"/>
      <c r="G19" s="69"/>
      <c r="H19" s="24"/>
      <c r="I19" s="24"/>
      <c r="J19" s="24"/>
      <c r="K19" s="24"/>
      <c r="L19" s="43"/>
      <c r="M19" s="24"/>
    </row>
    <row r="20" spans="1:13" ht="16.5" customHeight="1" thickBot="1">
      <c r="A20" s="124" t="str">
        <f>'[1]Budget - Yr 1'!$A$47</f>
        <v>Income before Taxes</v>
      </c>
      <c r="B20" s="45">
        <f>B11-B14-B16-B18</f>
        <v>57970.189999999944</v>
      </c>
      <c r="C20" s="45">
        <f>C11-C14-C16-C18</f>
        <v>57970.189999999944</v>
      </c>
      <c r="D20" s="45">
        <f>D11-D14-D16-D18</f>
        <v>57970.189999999944</v>
      </c>
      <c r="E20" s="45">
        <f>E11-E14-E16-E18</f>
        <v>57970.25</v>
      </c>
      <c r="F20" s="46">
        <f>F11-F18-F17-F16-F14</f>
        <v>231881</v>
      </c>
      <c r="G20" s="125">
        <f>IF(F$11=0,0,+F20/F$11)</f>
        <v>0.018489833346623075</v>
      </c>
      <c r="H20" s="45">
        <f>H11-H14-H16-H18</f>
        <v>1365770</v>
      </c>
      <c r="I20" s="45">
        <f>I11-I14-I16-I18</f>
        <v>1365770</v>
      </c>
      <c r="J20" s="45">
        <f>J11-J14-J16-J18</f>
        <v>1365770</v>
      </c>
      <c r="K20" s="45">
        <f>K11-K14-K16-K18</f>
        <v>1365770.25</v>
      </c>
      <c r="L20" s="46">
        <f>SUM(H20:K20)</f>
        <v>5463080.25</v>
      </c>
      <c r="M20" s="108">
        <f>IF(L$11=0,0,+L20/L$11)</f>
        <v>0.20679386213945036</v>
      </c>
    </row>
    <row r="21" spans="1:15" ht="16.5" customHeight="1" thickTop="1">
      <c r="A21" s="21" t="str">
        <f>'[1]Budget - Yr 1'!$A$48</f>
        <v>Taxes on Income</v>
      </c>
      <c r="B21" s="22">
        <f>0.4*B20</f>
        <v>23188.07599999998</v>
      </c>
      <c r="C21" s="22">
        <f>0.4*C20</f>
        <v>23188.07599999998</v>
      </c>
      <c r="D21" s="22">
        <f>0.4*D20</f>
        <v>23188.07599999998</v>
      </c>
      <c r="E21" s="56">
        <f>0.4*E20</f>
        <v>23188.100000000002</v>
      </c>
      <c r="F21" s="22">
        <f>SUM(B21:E21)</f>
        <v>92752.32799999995</v>
      </c>
      <c r="G21" s="126">
        <f>IF(F$11=0,0,+F21/F$11)</f>
        <v>0.007395927597480261</v>
      </c>
      <c r="H21" s="22">
        <f>0.4*H20</f>
        <v>546308</v>
      </c>
      <c r="I21" s="22">
        <f>0.4*I20</f>
        <v>546308</v>
      </c>
      <c r="J21" s="22">
        <f>0.4*J20</f>
        <v>546308</v>
      </c>
      <c r="K21" s="56">
        <f>0.4*K20</f>
        <v>546308.1</v>
      </c>
      <c r="L21" s="22">
        <f>0.45*L20</f>
        <v>2458386.1125000003</v>
      </c>
      <c r="M21" s="22"/>
      <c r="N21" s="22"/>
      <c r="O21" s="22"/>
    </row>
    <row r="22" spans="1:12" ht="15.75" customHeight="1">
      <c r="A22" s="21"/>
      <c r="B22" s="22"/>
      <c r="C22" s="22"/>
      <c r="D22" s="22"/>
      <c r="E22" s="22"/>
      <c r="F22" s="23"/>
      <c r="G22" s="81"/>
      <c r="H22" s="22"/>
      <c r="I22" s="22"/>
      <c r="J22" s="22"/>
      <c r="K22" s="22"/>
      <c r="L22" s="23"/>
    </row>
    <row r="23" spans="1:13" ht="16.5" customHeight="1" thickBot="1">
      <c r="A23" s="113" t="str">
        <f>'[1]Budget - Yr 1'!$A$50</f>
        <v>Net Income After Taxes </v>
      </c>
      <c r="B23" s="59">
        <f>B20-B21</f>
        <v>34782.113999999965</v>
      </c>
      <c r="C23" s="59">
        <f>C20-C21</f>
        <v>34782.113999999965</v>
      </c>
      <c r="D23" s="59">
        <f>D20-D21</f>
        <v>34782.113999999965</v>
      </c>
      <c r="E23" s="59">
        <f>E20-E21</f>
        <v>34782.149999999994</v>
      </c>
      <c r="F23" s="60">
        <f>F20-F21</f>
        <v>139128.67200000005</v>
      </c>
      <c r="G23" s="127">
        <f>IF(F$11=0,0,+F23/F$11)</f>
        <v>0.011093905749142815</v>
      </c>
      <c r="H23" s="59">
        <f>H20-H21</f>
        <v>819462</v>
      </c>
      <c r="I23" s="59">
        <f>I20-I21</f>
        <v>819462</v>
      </c>
      <c r="J23" s="59">
        <f>J20-J21</f>
        <v>819462</v>
      </c>
      <c r="K23" s="59">
        <f>K20-K21</f>
        <v>819462.15</v>
      </c>
      <c r="L23" s="60">
        <f>L20-L21</f>
        <v>3004694.1374999997</v>
      </c>
      <c r="M23" s="114">
        <f>IF(L$11=0,0,+L23/L$11)</f>
        <v>0.11373662417669769</v>
      </c>
    </row>
    <row r="24" spans="1:13" s="13" customFormat="1" ht="15.75" customHeight="1">
      <c r="A24" s="115" t="str">
        <f>'[1]Budget - Yr 1'!A51</f>
        <v>   % of Total Sales</v>
      </c>
      <c r="B24" s="24">
        <f>IF(B$11=0,0,B23/B$11)</f>
        <v>0.011093888525635903</v>
      </c>
      <c r="C24" s="24">
        <f>IF(C$11=0,0,C23/C$11)</f>
        <v>0.011093888525635903</v>
      </c>
      <c r="D24" s="24">
        <f>IF(D$11=0,0,D23/D$11)</f>
        <v>0.011093888525635903</v>
      </c>
      <c r="E24" s="24">
        <f>IF(E$11=0,0,E23/E$11)</f>
        <v>0.011093900007973844</v>
      </c>
      <c r="F24" s="43">
        <f>IF(F$11=0,0,F23/F$11)</f>
        <v>0.011093905749142815</v>
      </c>
      <c r="G24" s="69"/>
      <c r="H24" s="24">
        <f>IF(H$11=0,0,H23/H$11)</f>
        <v>0.12407631160572337</v>
      </c>
      <c r="I24" s="24">
        <f>IF(I$11=0,0,I23/I$11)</f>
        <v>0.12407631160572337</v>
      </c>
      <c r="J24" s="24">
        <f>IF(J$11=0,0,J23/J$11)</f>
        <v>0.12407631160572337</v>
      </c>
      <c r="K24" s="24">
        <f>IF(K$11=0,0,K23/K$11)</f>
        <v>0.12407633431751079</v>
      </c>
      <c r="L24" s="43">
        <f>IF(L$11=0,0,L23/L$11)</f>
        <v>0.11373662417669769</v>
      </c>
      <c r="M24" s="24"/>
    </row>
  </sheetData>
  <printOptions/>
  <pageMargins left="0.75" right="0.75" top="1" bottom="1" header="0.5" footer="0.5"/>
  <pageSetup fitToHeight="1" fitToWidth="1" orientation="landscape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workbookViewId="0" topLeftCell="A4">
      <selection activeCell="B14" sqref="B14"/>
    </sheetView>
  </sheetViews>
  <sheetFormatPr defaultColWidth="11.140625" defaultRowHeight="12.75"/>
  <cols>
    <col min="1" max="1" width="36.00390625" style="12" bestFit="1" customWidth="1"/>
    <col min="2" max="2" width="13.421875" style="12" customWidth="1"/>
    <col min="3" max="3" width="11.140625" style="13" customWidth="1"/>
    <col min="4" max="4" width="13.421875" style="12" customWidth="1"/>
    <col min="5" max="5" width="11.140625" style="13" customWidth="1"/>
    <col min="6" max="6" width="13.421875" style="12" customWidth="1"/>
    <col min="7" max="7" width="11.140625" style="13" customWidth="1"/>
    <col min="8" max="8" width="13.421875" style="12" customWidth="1"/>
    <col min="9" max="9" width="11.140625" style="13" customWidth="1"/>
    <col min="10" max="10" width="13.421875" style="12" customWidth="1"/>
    <col min="11" max="11" width="11.140625" style="13" customWidth="1"/>
    <col min="12" max="16384" width="11.140625" style="12" customWidth="1"/>
  </cols>
  <sheetData>
    <row r="1" spans="1:6" ht="22.5" customHeight="1">
      <c r="A1" s="10" t="s">
        <v>41</v>
      </c>
      <c r="B1" s="66"/>
      <c r="C1" s="128" t="s">
        <v>48</v>
      </c>
      <c r="F1" s="2" t="str">
        <f>'[1]Assumptions'!C10</f>
        <v>The All Company</v>
      </c>
    </row>
    <row r="2" spans="1:6" ht="18" customHeight="1">
      <c r="A2" s="14">
        <v>37622</v>
      </c>
      <c r="B2" s="66"/>
      <c r="F2" s="116"/>
    </row>
    <row r="3" spans="1:11" ht="17.25" customHeight="1">
      <c r="A3" s="14"/>
      <c r="C3" s="67" t="s">
        <v>24</v>
      </c>
      <c r="E3" s="67" t="s">
        <v>24</v>
      </c>
      <c r="G3" s="67" t="s">
        <v>24</v>
      </c>
      <c r="I3" s="67" t="s">
        <v>24</v>
      </c>
      <c r="K3" s="16" t="s">
        <v>24</v>
      </c>
    </row>
    <row r="4" spans="1:11" ht="15.75" customHeight="1">
      <c r="A4" s="106" t="s">
        <v>25</v>
      </c>
      <c r="B4" s="129" t="str">
        <f>'[1]Assumptions'!N59</f>
        <v>Year 1</v>
      </c>
      <c r="C4" s="68" t="s">
        <v>25</v>
      </c>
      <c r="D4" s="129" t="str">
        <f>'[1]Assumptions'!B38</f>
        <v>Year 2</v>
      </c>
      <c r="E4" s="68" t="s">
        <v>25</v>
      </c>
      <c r="F4" s="129" t="str">
        <f>'[1]Assumptions'!C38</f>
        <v>Year 3</v>
      </c>
      <c r="G4" s="68" t="s">
        <v>25</v>
      </c>
      <c r="H4" s="129" t="str">
        <f>'[1]Assumptions'!D38</f>
        <v>Year 4</v>
      </c>
      <c r="I4" s="68" t="s">
        <v>25</v>
      </c>
      <c r="J4" s="129" t="str">
        <f>'[1]Assumptions'!E38</f>
        <v>Year 5</v>
      </c>
      <c r="K4" s="20" t="s">
        <v>25</v>
      </c>
    </row>
    <row r="5" spans="1:11" ht="15.75" customHeight="1">
      <c r="A5" s="21" t="str">
        <f>'[1]Budget - Yr 1'!A5</f>
        <v>E-commerce Revenues</v>
      </c>
      <c r="B5" s="22">
        <f>'[1]Budget - Yr 1'!N5</f>
        <v>1230000</v>
      </c>
      <c r="C5" s="69">
        <f>B5/B11</f>
        <v>0.2841956707988255</v>
      </c>
      <c r="D5" s="22">
        <f>'[1]Budget - Yrs 2-3'!F6</f>
        <v>3390000</v>
      </c>
      <c r="E5" s="69">
        <f aca="true" t="shared" si="0" ref="E5:E11">IF(D$11=0,0,+D5/D$11)</f>
        <v>0.27031337213938283</v>
      </c>
      <c r="F5" s="22">
        <f>'[1]Budget - Yrs 2-3'!L6</f>
        <v>7770000</v>
      </c>
      <c r="G5" s="69">
        <f aca="true" t="shared" si="1" ref="G5:G11">IF(F$11=0,0,+F5/F$11)</f>
        <v>0.29411764705882354</v>
      </c>
      <c r="H5" s="22">
        <f>'[1]Budget - Yrs 1-5'!H5</f>
        <v>16980000</v>
      </c>
      <c r="I5" s="69">
        <f aca="true" t="shared" si="2" ref="I5:I11">IF(H$11=0,0,+H5/H$11)</f>
        <v>0.33662424170334243</v>
      </c>
      <c r="J5" s="22">
        <f>'[1]Budget - Yrs 1-5'!J5</f>
        <v>48100000</v>
      </c>
      <c r="K5" s="24">
        <f aca="true" t="shared" si="3" ref="K5:K11">IF(J$11=0,0,+J5/J$11)</f>
        <v>0.4715501352888122</v>
      </c>
    </row>
    <row r="6" spans="1:11" ht="15.75" customHeight="1">
      <c r="A6" s="21" t="str">
        <f>'[1]Budget - Yr 1'!A6</f>
        <v>Advertising Sales Revenues</v>
      </c>
      <c r="B6" s="22">
        <f>'[1]Budget - Yr 1'!N6</f>
        <v>72000</v>
      </c>
      <c r="C6" s="69">
        <f>B6/B11</f>
        <v>0.016635844144321493</v>
      </c>
      <c r="D6" s="22">
        <f>'[1]Budget - Yrs 2-3'!F7</f>
        <v>216000</v>
      </c>
      <c r="E6" s="69">
        <f t="shared" si="0"/>
        <v>0.017223506897376603</v>
      </c>
      <c r="F6" s="22">
        <f>'[1]Budget - Yrs 2-3'!L7</f>
        <v>720000</v>
      </c>
      <c r="G6" s="69">
        <f t="shared" si="1"/>
        <v>0.027254144901203724</v>
      </c>
      <c r="H6" s="22">
        <f>'[1]Budget - Yrs 1-5'!H6</f>
        <v>2160000</v>
      </c>
      <c r="I6" s="69">
        <f t="shared" si="2"/>
        <v>0.0428214583085524</v>
      </c>
      <c r="J6" s="22">
        <f>'[1]Budget - Yrs 1-5'!J6</f>
        <v>5040000</v>
      </c>
      <c r="K6" s="24">
        <f t="shared" si="3"/>
        <v>0.04940982706560527</v>
      </c>
    </row>
    <row r="7" spans="1:11" ht="15.75" customHeight="1">
      <c r="A7" s="21" t="str">
        <f>'[1]Budget - Yr 1'!A7</f>
        <v>Membership List Sales Revenues</v>
      </c>
      <c r="B7" s="22">
        <f>'[1]Budget - Yr 1'!N7</f>
        <v>14004</v>
      </c>
      <c r="C7" s="69">
        <f>B7/B11</f>
        <v>0.0032356716860705305</v>
      </c>
      <c r="D7" s="22">
        <v>49000</v>
      </c>
      <c r="E7" s="69">
        <f t="shared" si="0"/>
        <v>0.003907184435053026</v>
      </c>
      <c r="F7" s="22">
        <v>126000</v>
      </c>
      <c r="G7" s="69">
        <f t="shared" si="1"/>
        <v>0.0047694753577106515</v>
      </c>
      <c r="H7" s="22">
        <v>336000</v>
      </c>
      <c r="I7" s="69">
        <f t="shared" si="2"/>
        <v>0.006661115736885929</v>
      </c>
      <c r="J7" s="22">
        <v>840000</v>
      </c>
      <c r="K7" s="24">
        <f t="shared" si="3"/>
        <v>0.008234971177600879</v>
      </c>
    </row>
    <row r="8" spans="1:11" ht="15.75" customHeight="1">
      <c r="A8" s="21" t="str">
        <f>'[1]Budget - Yr 1'!A8</f>
        <v>Publication Revenues</v>
      </c>
      <c r="B8" s="22">
        <v>1512000</v>
      </c>
      <c r="C8" s="69">
        <f>B8/B11</f>
        <v>0.3493527270307514</v>
      </c>
      <c r="D8" s="22">
        <v>5376000</v>
      </c>
      <c r="E8" s="69">
        <f t="shared" si="0"/>
        <v>0.4286739494458177</v>
      </c>
      <c r="F8" s="22">
        <v>10752000</v>
      </c>
      <c r="G8" s="69">
        <f t="shared" si="1"/>
        <v>0.4069952305246423</v>
      </c>
      <c r="H8" s="22">
        <v>18816000</v>
      </c>
      <c r="I8" s="69">
        <f t="shared" si="2"/>
        <v>0.373022481265612</v>
      </c>
      <c r="J8" s="22">
        <v>28224000</v>
      </c>
      <c r="K8" s="24">
        <f t="shared" si="3"/>
        <v>0.2766950315673895</v>
      </c>
    </row>
    <row r="9" spans="1:11" ht="15.75" customHeight="1">
      <c r="A9" s="21" t="str">
        <f>'[1]Budget - Yr 1'!A9</f>
        <v>TV Program Production Revenues</v>
      </c>
      <c r="B9" s="22">
        <f>'[1]Budget - Yr 1'!N9</f>
        <v>1500000</v>
      </c>
      <c r="C9" s="69">
        <f>B9/B11</f>
        <v>0.3465800863400311</v>
      </c>
      <c r="D9" s="22">
        <f>'[1]Budget - Yrs 2-3'!F10</f>
        <v>3000000</v>
      </c>
      <c r="E9" s="69">
        <f t="shared" si="0"/>
        <v>0.23921537357467507</v>
      </c>
      <c r="F9" s="22">
        <f>'[1]Budget - Yrs 2-3'!L10</f>
        <v>4500000</v>
      </c>
      <c r="G9" s="69">
        <f t="shared" si="1"/>
        <v>0.17033840563252328</v>
      </c>
      <c r="H9" s="22">
        <f>'[1]Budget - Yrs 1-5'!H9</f>
        <v>4500000</v>
      </c>
      <c r="I9" s="69">
        <f t="shared" si="2"/>
        <v>0.08921137147615082</v>
      </c>
      <c r="J9" s="22">
        <f>'[1]Budget - Yrs 1-5'!J9</f>
        <v>4500000</v>
      </c>
      <c r="K9" s="24">
        <f t="shared" si="3"/>
        <v>0.04411591702286185</v>
      </c>
    </row>
    <row r="10" spans="1:11" ht="15.75" customHeight="1">
      <c r="A10" s="21" t="s">
        <v>53</v>
      </c>
      <c r="B10" s="22"/>
      <c r="C10" s="69">
        <f>B10/B11</f>
        <v>0</v>
      </c>
      <c r="D10" s="22">
        <v>510000</v>
      </c>
      <c r="E10" s="69">
        <f t="shared" si="0"/>
        <v>0.04066661350769476</v>
      </c>
      <c r="F10" s="22">
        <v>2550000</v>
      </c>
      <c r="G10" s="69">
        <f t="shared" si="1"/>
        <v>0.09652509652509653</v>
      </c>
      <c r="H10" s="22">
        <f>0.75*10200000</f>
        <v>7650000</v>
      </c>
      <c r="I10" s="69">
        <f t="shared" si="2"/>
        <v>0.1516593315094564</v>
      </c>
      <c r="J10" s="22">
        <v>15300000</v>
      </c>
      <c r="K10" s="24">
        <f t="shared" si="3"/>
        <v>0.1499941178777303</v>
      </c>
    </row>
    <row r="11" spans="1:11" ht="16.5" customHeight="1" thickBot="1">
      <c r="A11" s="100" t="str">
        <f>'[1]Budget - Yr 1'!A10</f>
        <v>Total Sales</v>
      </c>
      <c r="B11" s="45">
        <f>SUM(B5:B9)</f>
        <v>4328004</v>
      </c>
      <c r="C11" s="70">
        <f>IF(B$11=0,0,+B11/B$11)</f>
        <v>1</v>
      </c>
      <c r="D11" s="45">
        <f>SUM(D5:D10)</f>
        <v>12541000</v>
      </c>
      <c r="E11" s="70">
        <f t="shared" si="0"/>
        <v>1</v>
      </c>
      <c r="F11" s="45">
        <f>SUM(F5:F10)</f>
        <v>26418000</v>
      </c>
      <c r="G11" s="70">
        <f t="shared" si="1"/>
        <v>1</v>
      </c>
      <c r="H11" s="45">
        <f>SUM(H5:H10)</f>
        <v>50442000</v>
      </c>
      <c r="I11" s="70">
        <f t="shared" si="2"/>
        <v>1</v>
      </c>
      <c r="J11" s="45">
        <f>SUM(J5:J10)</f>
        <v>102004000</v>
      </c>
      <c r="K11" s="47">
        <f t="shared" si="3"/>
        <v>1</v>
      </c>
    </row>
    <row r="12" spans="1:11" ht="16.5" customHeight="1" thickTop="1">
      <c r="A12" s="103"/>
      <c r="B12" s="109"/>
      <c r="C12" s="130"/>
      <c r="D12" s="109"/>
      <c r="E12" s="97"/>
      <c r="F12" s="109"/>
      <c r="G12" s="130"/>
      <c r="H12" s="109"/>
      <c r="I12" s="97"/>
      <c r="J12" s="109"/>
      <c r="K12" s="131"/>
    </row>
    <row r="13" spans="1:11" ht="16.5" customHeight="1">
      <c r="A13" s="49" t="s">
        <v>38</v>
      </c>
      <c r="B13" s="22">
        <f>'Income Yr 1'!N14</f>
        <v>1662798</v>
      </c>
      <c r="C13" s="24">
        <f>IF(B$11=0,0,+B13/B$11)</f>
        <v>0.38419511627068736</v>
      </c>
      <c r="D13" s="23">
        <f>'[1]Income - Yrs 2-3'!F13</f>
        <v>4094000</v>
      </c>
      <c r="E13" s="69">
        <f>IF(D$11=0,0,+D13/D$11)</f>
        <v>0.32644924647157325</v>
      </c>
      <c r="F13" s="22">
        <f>'[1]Income - Yrs 2-3'!L13</f>
        <v>5716400</v>
      </c>
      <c r="G13" s="24">
        <f>IF(F$11=0,0,+F13/F$11)</f>
        <v>0.2163827693239458</v>
      </c>
      <c r="H13" s="23">
        <f>'[1]Assumptions'!L230</f>
        <v>8443600</v>
      </c>
      <c r="I13" s="69">
        <f>IF(H$11=0,0,+H13/H$11)</f>
        <v>0.16739225248800602</v>
      </c>
      <c r="J13" s="22">
        <f>'[1]Assumptions'!M230</f>
        <v>16546000</v>
      </c>
      <c r="K13" s="24">
        <f>IF(J$11=0,0,+J13/J$11)</f>
        <v>0.16220932512450492</v>
      </c>
    </row>
    <row r="14" spans="1:11" ht="15.75" customHeight="1">
      <c r="A14" s="21"/>
      <c r="B14" s="22"/>
      <c r="C14" s="69"/>
      <c r="D14" s="22"/>
      <c r="E14" s="69"/>
      <c r="F14" s="22"/>
      <c r="G14" s="69"/>
      <c r="H14" s="22"/>
      <c r="I14" s="69"/>
      <c r="J14" s="22"/>
      <c r="K14" s="24"/>
    </row>
    <row r="15" spans="1:11" ht="15.75" customHeight="1">
      <c r="A15" s="132" t="str">
        <f>+'[1]Income - Yrs 2-3'!A15</f>
        <v>Sales &amp; Marketing Costs</v>
      </c>
      <c r="B15" s="22">
        <f>'[1]Budget - Yr 1'!N22</f>
        <v>3000000</v>
      </c>
      <c r="C15" s="69">
        <f>IF(B$11=0,0,+B15/B$11)</f>
        <v>0.6931601726800622</v>
      </c>
      <c r="D15" s="22">
        <f>'[1]Budget - Yrs 2-3'!F22</f>
        <v>5000000</v>
      </c>
      <c r="E15" s="69">
        <f>IF(D$11=0,0,+D15/D$11)</f>
        <v>0.3986922892911251</v>
      </c>
      <c r="F15" s="22">
        <f>'[1]Budget - Yrs 2-3'!L22</f>
        <v>10000000</v>
      </c>
      <c r="G15" s="69">
        <f>IF(F$11=0,0,+F15/F$11)</f>
        <v>0.3785297902944962</v>
      </c>
      <c r="H15" s="22">
        <f>'[1]Budget - Yrs 1-5'!H21</f>
        <v>20000000</v>
      </c>
      <c r="I15" s="69">
        <f>IF(H$11=0,0,+H15/H$11)</f>
        <v>0.3964949843384481</v>
      </c>
      <c r="J15" s="22">
        <f>'[1]Budget - Yrs 1-5'!J21</f>
        <v>30000000</v>
      </c>
      <c r="K15" s="24">
        <f>IF(J$11=0,0,+J15/J$11)</f>
        <v>0.29410611348574567</v>
      </c>
    </row>
    <row r="16" spans="1:11" ht="15.75" customHeight="1">
      <c r="A16" s="133"/>
      <c r="B16" s="22"/>
      <c r="C16" s="69"/>
      <c r="D16" s="22"/>
      <c r="E16" s="69"/>
      <c r="F16" s="22"/>
      <c r="G16" s="69"/>
      <c r="H16" s="22"/>
      <c r="I16" s="69"/>
      <c r="J16" s="22"/>
      <c r="K16" s="24"/>
    </row>
    <row r="17" spans="1:11" ht="15.75" customHeight="1">
      <c r="A17" s="132" t="s">
        <v>47</v>
      </c>
      <c r="B17" s="22">
        <v>3510519</v>
      </c>
      <c r="C17" s="69">
        <f>IF(B$11=0,0,+B17/B$11)</f>
        <v>0.8111173187455465</v>
      </c>
      <c r="D17" s="22">
        <v>3215119</v>
      </c>
      <c r="E17" s="69">
        <f>IF(D$11=0,0,+D17/D$11)</f>
        <v>0.2563686308906786</v>
      </c>
      <c r="F17" s="22">
        <v>5238519</v>
      </c>
      <c r="G17" s="69">
        <f>IF(F$11=0,0,+F17/F$11)</f>
        <v>0.19829354985237338</v>
      </c>
      <c r="H17" s="22">
        <v>7354500</v>
      </c>
      <c r="I17" s="69">
        <f>IF(H$11=0,0,+H17/H$11)</f>
        <v>0.14580111811585583</v>
      </c>
      <c r="J17" s="22">
        <v>10736500</v>
      </c>
      <c r="K17" s="24">
        <f>IF(J$11=0,0,+J17/J$11)</f>
        <v>0.10525567624799027</v>
      </c>
    </row>
    <row r="18" spans="1:11" ht="16.5" customHeight="1">
      <c r="A18" s="21"/>
      <c r="B18" s="22"/>
      <c r="C18" s="69"/>
      <c r="D18" s="22"/>
      <c r="E18" s="69"/>
      <c r="F18" s="22"/>
      <c r="G18" s="69"/>
      <c r="H18" s="22"/>
      <c r="I18" s="69"/>
      <c r="J18" s="22"/>
      <c r="K18" s="24"/>
    </row>
    <row r="19" spans="1:11" ht="16.5" customHeight="1" thickBot="1">
      <c r="A19" s="113" t="s">
        <v>49</v>
      </c>
      <c r="B19" s="45">
        <f>B11-B13-B15-B17</f>
        <v>-3845313</v>
      </c>
      <c r="C19" s="70">
        <f>IF(B$11=0,0,+B19/B$11)</f>
        <v>-0.888472607696296</v>
      </c>
      <c r="D19" s="45">
        <f>D11-D13-D15-D17</f>
        <v>231881</v>
      </c>
      <c r="E19" s="70">
        <f>IF(D$11=0,0,+D19/D$11)</f>
        <v>0.018489833346623075</v>
      </c>
      <c r="F19" s="45">
        <f>F11-F13-F15-F17</f>
        <v>5463081</v>
      </c>
      <c r="G19" s="70">
        <f>IF(F$11=0,0,+F19/F$11)</f>
        <v>0.20679389052918465</v>
      </c>
      <c r="H19" s="45">
        <f>H11-H13-H15-H17</f>
        <v>14643900</v>
      </c>
      <c r="I19" s="70">
        <f>IF(H$11=0,0,+H19/H$11)</f>
        <v>0.29031164505769</v>
      </c>
      <c r="J19" s="45">
        <f>J11-J13-J15-J17</f>
        <v>44721500</v>
      </c>
      <c r="K19" s="47">
        <f>IF(J$11=0,0,+J19/J$11)</f>
        <v>0.43842888514175915</v>
      </c>
    </row>
    <row r="20" spans="1:11" ht="16.5" customHeight="1">
      <c r="A20" s="21" t="str">
        <f>'[1]Budget - Yr 1'!$A$48</f>
        <v>Taxes on Income</v>
      </c>
      <c r="B20" s="22">
        <v>0</v>
      </c>
      <c r="C20" s="69">
        <f>IF(B$11=0,0,+B20/B$11)</f>
        <v>0</v>
      </c>
      <c r="D20" s="22">
        <f>D19*0.4</f>
        <v>92752.40000000001</v>
      </c>
      <c r="E20" s="69">
        <f>IF(D$11=0,0,+D20/D$11)</f>
        <v>0.007395933338649231</v>
      </c>
      <c r="F20" s="22">
        <f>F19*0.4</f>
        <v>2185232.4</v>
      </c>
      <c r="G20" s="69">
        <f>IF(F$11=0,0,+F20/F$11)</f>
        <v>0.08271755621167386</v>
      </c>
      <c r="H20" s="22">
        <f>H19*0.4</f>
        <v>5857560</v>
      </c>
      <c r="I20" s="69">
        <f>IF(H$11=0,0,+H20/H$11)</f>
        <v>0.116124658023076</v>
      </c>
      <c r="J20" s="22">
        <f>J19*0.4</f>
        <v>17888600</v>
      </c>
      <c r="K20" s="24">
        <f>IF(J$11=0,0,+J20/J$11)</f>
        <v>0.17537155405670365</v>
      </c>
    </row>
    <row r="21" spans="1:11" ht="15.75" customHeight="1">
      <c r="A21" s="21"/>
      <c r="B21" s="22"/>
      <c r="C21" s="69"/>
      <c r="D21" s="22"/>
      <c r="E21" s="69"/>
      <c r="F21" s="22"/>
      <c r="G21" s="69"/>
      <c r="H21" s="22"/>
      <c r="I21" s="69"/>
      <c r="J21" s="22"/>
      <c r="K21" s="24"/>
    </row>
    <row r="22" spans="1:11" ht="16.5" customHeight="1" thickBot="1">
      <c r="A22" s="113" t="str">
        <f>'[1]Budget - Yr 1'!$A$50</f>
        <v>Net Income After Taxes </v>
      </c>
      <c r="B22" s="59">
        <f>B19-B20</f>
        <v>-3845313</v>
      </c>
      <c r="C22" s="83">
        <f>IF(B$11=0,0,+B22/B$11)</f>
        <v>-0.888472607696296</v>
      </c>
      <c r="D22" s="59">
        <f>D19-D20</f>
        <v>139128.59999999998</v>
      </c>
      <c r="E22" s="83">
        <f>IF(D$11=0,0,+D22/D$11)</f>
        <v>0.011093900007973844</v>
      </c>
      <c r="F22" s="59">
        <f>F19-F20</f>
        <v>3277848.6</v>
      </c>
      <c r="G22" s="83">
        <f>IF(F$11=0,0,+F22/F$11)</f>
        <v>0.12407633431751079</v>
      </c>
      <c r="H22" s="59">
        <f>H19-H20</f>
        <v>8786340</v>
      </c>
      <c r="I22" s="83">
        <f>IF(H$11=0,0,+H22/H$11)</f>
        <v>0.17418698703461402</v>
      </c>
      <c r="J22" s="59">
        <f>J19-J20</f>
        <v>26832900</v>
      </c>
      <c r="K22" s="61">
        <f>IF(J$11=0,0,+J22/J$11)</f>
        <v>0.26305733108505547</v>
      </c>
    </row>
    <row r="23" ht="12.75" customHeight="1">
      <c r="H23" s="28"/>
    </row>
    <row r="24" ht="12.75" customHeight="1">
      <c r="H24" s="28"/>
    </row>
    <row r="25" ht="12.75" customHeight="1">
      <c r="H25" s="28"/>
    </row>
    <row r="26" ht="12.75" customHeight="1">
      <c r="H26" s="28"/>
    </row>
    <row r="27" ht="12.75" customHeight="1">
      <c r="H27" s="28"/>
    </row>
    <row r="28" ht="12.75" customHeight="1">
      <c r="H28" s="28"/>
    </row>
    <row r="29" ht="12.75" customHeight="1">
      <c r="H29" s="28"/>
    </row>
    <row r="30" ht="12.75" customHeight="1">
      <c r="H30" s="28"/>
    </row>
    <row r="31" ht="12.75" customHeight="1">
      <c r="H31" s="28"/>
    </row>
    <row r="32" ht="12.75" customHeight="1">
      <c r="H32" s="28"/>
    </row>
  </sheetData>
  <printOptions/>
  <pageMargins left="0.75" right="0.75" top="1" bottom="1" header="0.5" footer="0.5"/>
  <pageSetup fitToHeight="1" fitToWidth="1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JumpStart Capital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Seth Schwartz</dc:creator>
  <cp:keywords/>
  <dc:description/>
  <cp:lastModifiedBy>Seth</cp:lastModifiedBy>
  <dcterms:created xsi:type="dcterms:W3CDTF">2001-08-13T09:20:58Z</dcterms:created>
  <dcterms:modified xsi:type="dcterms:W3CDTF">2001-10-11T00:17:34Z</dcterms:modified>
  <cp:category/>
  <cp:version/>
  <cp:contentType/>
  <cp:contentStatus/>
</cp:coreProperties>
</file>